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2_Chicken/Fresh/Bratwurst/A_Online-Versionen/"/>
    </mc:Choice>
  </mc:AlternateContent>
  <xr:revisionPtr revIDLastSave="0" documentId="13_ncr:1_{D1531E38-0B7E-7540-9001-D11FC6C26E62}" xr6:coauthVersionLast="47" xr6:coauthVersionMax="47" xr10:uidLastSave="{00000000-0000-0000-0000-000000000000}"/>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Recipe!$N$18</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13" i="1" l="1"/>
  <c r="N14" i="1"/>
  <c r="P17" i="1"/>
  <c r="Q17" i="1"/>
  <c r="S17" i="1" s="1"/>
  <c r="E17" i="1"/>
  <c r="D17" i="1"/>
  <c r="N20" i="1"/>
  <c r="R20" i="1" s="1"/>
  <c r="P20" i="1"/>
  <c r="E20" i="1"/>
  <c r="D20" i="1"/>
  <c r="N19" i="1"/>
  <c r="N21" i="1"/>
  <c r="U21" i="1" s="1"/>
  <c r="N22" i="1"/>
  <c r="O22" i="1" s="1"/>
  <c r="Q20" i="1"/>
  <c r="S20" i="1"/>
  <c r="M13" i="1"/>
  <c r="L11" i="1"/>
  <c r="Q12" i="1"/>
  <c r="S12" i="1"/>
  <c r="M12" i="1"/>
  <c r="R12" i="1"/>
  <c r="O12" i="1"/>
  <c r="E30" i="1"/>
  <c r="D30" i="1"/>
  <c r="E31" i="1"/>
  <c r="D31" i="1"/>
  <c r="E29" i="1"/>
  <c r="D29" i="1"/>
  <c r="N27" i="1"/>
  <c r="O27" i="1"/>
  <c r="E27" i="1"/>
  <c r="D27" i="1"/>
  <c r="O13" i="1"/>
  <c r="R13" i="1"/>
  <c r="R14" i="1" s="1"/>
  <c r="S14" i="1" s="1"/>
  <c r="P19" i="1"/>
  <c r="Q19" i="1" s="1"/>
  <c r="S19" i="1" s="1"/>
  <c r="E19" i="1"/>
  <c r="D19" i="1"/>
  <c r="P21" i="1"/>
  <c r="R21" i="1" s="1"/>
  <c r="E21" i="1"/>
  <c r="D21" i="1"/>
  <c r="Q18" i="1"/>
  <c r="S18" i="1" s="1"/>
  <c r="D18" i="1"/>
  <c r="E28" i="1"/>
  <c r="D28" i="1"/>
  <c r="P16" i="1"/>
  <c r="Q16" i="1" s="1"/>
  <c r="P22" i="1"/>
  <c r="Q22" i="1"/>
  <c r="S22" i="1" s="1"/>
  <c r="Q24" i="1"/>
  <c r="Q13" i="1"/>
  <c r="S13" i="1"/>
  <c r="E22" i="1"/>
  <c r="D16" i="1"/>
  <c r="D22" i="1"/>
  <c r="E16" i="1"/>
  <c r="Q21" i="1"/>
  <c r="S21" i="1" s="1"/>
  <c r="L14" i="1"/>
  <c r="O21" i="1"/>
  <c r="S16" i="1" l="1"/>
  <c r="Q23" i="1"/>
  <c r="R19" i="1"/>
  <c r="N17" i="1"/>
  <c r="O20" i="1"/>
  <c r="U22" i="1"/>
  <c r="U20" i="1"/>
  <c r="R22" i="1"/>
  <c r="O19" i="1"/>
  <c r="U19" i="1"/>
  <c r="N16" i="1"/>
  <c r="P14" i="1"/>
  <c r="Q14" i="1" s="1"/>
  <c r="S23" i="1" l="1"/>
  <c r="S24" i="1"/>
  <c r="U16" i="1"/>
  <c r="R16" i="1"/>
  <c r="O16" i="1"/>
  <c r="O17" i="1"/>
  <c r="U17" i="1"/>
  <c r="N18" i="1" s="1"/>
  <c r="R17" i="1"/>
  <c r="O18" i="1" l="1"/>
  <c r="L18" i="1"/>
  <c r="R18" i="1"/>
  <c r="R23" i="1" s="1"/>
  <c r="N23" i="1"/>
  <c r="L24" i="1" s="1"/>
  <c r="L23" i="1"/>
  <c r="U23" i="1"/>
  <c r="P23" i="1" l="1"/>
  <c r="R24" i="1"/>
  <c r="P24" i="1" s="1"/>
  <c r="U24" i="1"/>
</calcChain>
</file>

<file path=xl/sharedStrings.xml><?xml version="1.0" encoding="utf-8"?>
<sst xmlns="http://schemas.openxmlformats.org/spreadsheetml/2006/main" count="5068" uniqueCount="3160">
  <si>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</si>
  <si>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</si>
  <si>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</si>
  <si>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</si>
  <si>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</si>
  <si>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</si>
  <si>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</si>
  <si>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</si>
  <si>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</si>
  <si>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</si>
  <si>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</si>
  <si>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</si>
  <si>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</si>
  <si>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</si>
  <si>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</si>
  <si>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</si>
  <si>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</si>
  <si>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</si>
  <si>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</si>
  <si>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</si>
  <si>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</si>
  <si>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</si>
  <si>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</si>
  <si>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</si>
  <si>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</si>
  <si>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</si>
  <si>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</si>
  <si>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</si>
  <si>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</si>
  <si>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</si>
  <si>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</si>
  <si>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</si>
  <si>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</si>
  <si>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</si>
  <si>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</si>
  <si>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</si>
  <si>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</si>
  <si>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</si>
  <si>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</si>
  <si>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</si>
  <si>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</si>
  <si>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</si>
  <si>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</si>
  <si>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</si>
  <si>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</si>
  <si>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</si>
  <si>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</si>
  <si>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</si>
  <si>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</si>
  <si>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</si>
  <si>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</si>
  <si>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</si>
  <si>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</si>
  <si>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</si>
  <si>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</si>
  <si>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</si>
  <si>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</si>
  <si>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</si>
  <si>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</si>
  <si>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</si>
  <si>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</si>
  <si>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</si>
  <si>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</si>
  <si>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</si>
  <si>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</si>
  <si>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</si>
  <si>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</si>
  <si>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</si>
  <si>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</si>
  <si>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</si>
  <si>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</si>
  <si>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</si>
  <si>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</si>
  <si>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</si>
  <si>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</si>
  <si>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</si>
  <si>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</si>
  <si>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</si>
  <si>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</si>
  <si>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</si>
  <si>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</si>
  <si>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</si>
  <si>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</si>
  <si>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</si>
  <si>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</si>
  <si>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</si>
  <si>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</si>
  <si>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</si>
  <si>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</si>
  <si>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</si>
  <si>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</si>
  <si>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</si>
  <si>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</si>
  <si>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</si>
  <si>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</si>
  <si>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</si>
  <si>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</si>
  <si>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</si>
  <si>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</si>
  <si>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</si>
  <si>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</si>
  <si>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</si>
  <si>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</si>
  <si>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</si>
  <si>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</si>
  <si>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</si>
  <si>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</si>
  <si>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</si>
  <si>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</si>
  <si>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</si>
  <si>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</si>
  <si>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</si>
  <si>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</si>
  <si>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</si>
  <si>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</si>
  <si>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</si>
  <si>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</si>
  <si>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</si>
  <si>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</si>
  <si>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</si>
  <si>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</si>
  <si>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</si>
  <si>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</si>
  <si>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</si>
  <si>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</si>
  <si>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</si>
  <si>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</si>
  <si>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</si>
  <si>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</si>
  <si>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</si>
  <si>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</si>
  <si>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</si>
  <si>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</si>
  <si>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</si>
  <si>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</si>
  <si>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</si>
  <si>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</si>
  <si>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</si>
  <si>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</si>
  <si>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</si>
  <si>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</si>
  <si>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</si>
  <si>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</si>
  <si>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</si>
  <si>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</si>
  <si>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</si>
  <si>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</si>
  <si>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</si>
  <si>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</si>
  <si>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</si>
  <si>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</si>
  <si>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</si>
  <si>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</si>
  <si>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</si>
  <si>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</si>
  <si>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</si>
  <si>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</si>
  <si>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</si>
  <si>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</si>
  <si>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</si>
  <si>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</si>
  <si>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</si>
  <si>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</si>
  <si>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</si>
  <si>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</si>
  <si>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</si>
  <si>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</si>
  <si>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</si>
  <si>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</si>
  <si>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</si>
  <si>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</si>
  <si>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</si>
  <si>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</si>
  <si>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</si>
  <si>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</si>
  <si>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</si>
  <si>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</si>
  <si>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</si>
  <si>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</si>
  <si>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</si>
  <si>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</si>
  <si>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</si>
  <si>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</si>
  <si>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</si>
  <si>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</si>
  <si>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</si>
  <si>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</si>
  <si>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</si>
  <si>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</si>
  <si>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</si>
  <si>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</si>
  <si>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</si>
  <si>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</si>
  <si>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</si>
  <si>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</si>
  <si>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</si>
  <si>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</si>
  <si>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</si>
  <si>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</si>
  <si>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</si>
  <si>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</si>
  <si>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</si>
  <si>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</si>
  <si>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</si>
  <si>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</si>
  <si>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</si>
  <si>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</si>
  <si>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</si>
  <si>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</si>
  <si>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</si>
  <si>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</si>
  <si>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</si>
  <si>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</si>
  <si>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</si>
  <si>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</si>
  <si>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</si>
  <si>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</si>
  <si>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</si>
  <si>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</si>
  <si>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</si>
  <si>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</si>
  <si>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</si>
  <si>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</si>
  <si>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</si>
  <si>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</si>
  <si>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</si>
  <si>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</si>
  <si>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</si>
  <si>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</si>
  <si>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</si>
  <si>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</si>
  <si>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</si>
  <si>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</si>
  <si>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</si>
  <si>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</si>
  <si>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</si>
  <si>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</si>
  <si>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</si>
  <si>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</si>
  <si>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</si>
  <si>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</si>
  <si>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</si>
  <si>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</si>
  <si>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</si>
  <si>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</si>
  <si>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</si>
  <si>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</si>
  <si>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</si>
  <si>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</si>
  <si>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</si>
  <si>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</si>
  <si>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</si>
  <si>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</si>
  <si>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</si>
  <si>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</si>
  <si>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</si>
  <si>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</si>
  <si>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</si>
  <si>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</si>
  <si>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</si>
  <si>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</si>
  <si>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</si>
  <si>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</si>
  <si>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</si>
  <si>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</si>
  <si>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</si>
  <si>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</si>
  <si>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</si>
  <si>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</si>
  <si>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</si>
  <si>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</si>
  <si>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</si>
  <si>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</si>
  <si>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</si>
  <si>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</si>
  <si>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</si>
  <si>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</si>
  <si>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</si>
  <si>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</si>
  <si>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</si>
  <si>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</si>
  <si>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</si>
  <si>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</si>
  <si>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</si>
  <si>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</si>
  <si>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</si>
  <si>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</si>
  <si>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</si>
  <si>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</si>
  <si>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</si>
  <si>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</si>
  <si>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</si>
  <si>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</si>
  <si>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</si>
  <si>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</si>
  <si>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</si>
  <si>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</si>
  <si>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</si>
  <si>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</si>
  <si>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</si>
  <si>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</si>
  <si>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</si>
  <si>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</si>
  <si>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</si>
  <si>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</si>
  <si>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</si>
  <si>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</si>
  <si>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</si>
  <si>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</si>
  <si>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</si>
  <si>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</si>
  <si>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</si>
  <si>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</si>
  <si>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</si>
  <si>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</si>
  <si>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</si>
  <si>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</si>
  <si>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</si>
  <si>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</si>
  <si>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</si>
  <si>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</si>
  <si>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</si>
  <si>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</si>
  <si>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</si>
  <si>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</si>
  <si>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</si>
  <si>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</si>
  <si>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</si>
  <si>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</si>
  <si>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</si>
  <si>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</si>
  <si>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</si>
  <si>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</si>
  <si>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</si>
  <si>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</si>
  <si>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</si>
  <si>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</si>
  <si>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</si>
  <si>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</si>
  <si>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</si>
  <si>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</si>
  <si>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</si>
  <si>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</si>
  <si>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</si>
  <si>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</si>
  <si>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</si>
  <si>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</si>
  <si>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</si>
  <si>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</si>
  <si>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</si>
  <si>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</si>
  <si>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</si>
  <si>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</si>
  <si>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</si>
  <si>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</si>
  <si>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</si>
  <si>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</si>
  <si>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</si>
  <si>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</si>
  <si>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</si>
  <si>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</si>
  <si>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</si>
  <si>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</si>
  <si>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</si>
  <si>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</si>
  <si>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</si>
  <si>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</si>
  <si>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</si>
  <si>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</si>
  <si>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</si>
  <si>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</si>
  <si>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</si>
  <si>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</si>
  <si>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</si>
  <si>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</si>
  <si>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</si>
  <si>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</si>
  <si>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</si>
  <si>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</si>
  <si>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</si>
  <si>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</si>
  <si>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</si>
  <si>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</si>
  <si>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</si>
  <si>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</si>
  <si>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</si>
  <si>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</si>
  <si>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</si>
  <si>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</si>
  <si>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</si>
  <si>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</si>
  <si>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</si>
  <si>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</si>
  <si>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</si>
  <si>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</si>
  <si>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</si>
  <si>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</si>
  <si>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</si>
  <si>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</si>
  <si>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</si>
  <si>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</si>
  <si>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</si>
  <si>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</si>
  <si>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</si>
  <si>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</si>
  <si>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</si>
  <si>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</si>
  <si>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</si>
  <si>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</si>
  <si>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</si>
  <si>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</si>
  <si>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</si>
  <si>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</si>
  <si>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</si>
  <si>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</si>
  <si>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</si>
  <si>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</si>
  <si>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</si>
  <si>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</si>
  <si>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</si>
  <si>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</si>
  <si>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</si>
  <si>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</si>
  <si>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</si>
  <si>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</si>
  <si>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</si>
  <si>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</si>
  <si>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</si>
  <si>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</si>
  <si>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</si>
  <si>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</si>
  <si>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</si>
  <si>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</si>
  <si>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</si>
  <si>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</si>
  <si>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</si>
  <si>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</si>
  <si>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</si>
  <si>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</si>
  <si>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</si>
  <si>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</si>
  <si>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</si>
  <si>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</si>
  <si>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</si>
  <si>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</si>
  <si>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</si>
  <si>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</si>
  <si>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</si>
  <si>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</si>
  <si>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</si>
  <si>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</si>
  <si>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</si>
  <si>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</si>
  <si>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</si>
  <si>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</si>
  <si>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</si>
  <si>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</si>
  <si>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</si>
  <si>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</si>
  <si>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</si>
  <si>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</si>
  <si>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</si>
  <si>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</si>
  <si>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</si>
  <si>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</si>
  <si>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</si>
  <si>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</si>
  <si>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</si>
  <si>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</si>
  <si>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</si>
  <si>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</si>
  <si>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</si>
  <si>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</si>
  <si>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</si>
  <si>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</si>
  <si>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</si>
  <si>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</si>
  <si>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</si>
  <si>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</si>
  <si>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</si>
  <si>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</si>
  <si>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</si>
  <si>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</si>
  <si>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</si>
  <si>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</si>
  <si>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</si>
  <si>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</si>
  <si>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</si>
  <si>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</si>
  <si>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</si>
  <si>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</si>
  <si>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</si>
  <si>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</si>
  <si>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</si>
  <si>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</si>
  <si>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</si>
  <si>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</si>
  <si>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</si>
  <si>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</si>
  <si>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</si>
  <si>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</si>
  <si>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</si>
  <si>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</si>
  <si>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</si>
  <si>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</si>
  <si>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</si>
  <si>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</si>
  <si>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</si>
  <si>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</si>
  <si>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</si>
  <si>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</si>
  <si>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</si>
  <si>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</si>
  <si>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</si>
  <si>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</si>
  <si>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</si>
  <si>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</si>
  <si>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</si>
  <si>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</si>
  <si>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</si>
  <si>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</si>
  <si>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</si>
  <si>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</si>
  <si>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</si>
  <si>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</si>
  <si>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</si>
  <si>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</si>
  <si>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</si>
  <si>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</si>
  <si>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</si>
  <si>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</si>
  <si>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</si>
  <si>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</si>
  <si>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</si>
  <si>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</si>
  <si>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</si>
  <si>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</si>
  <si>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</si>
  <si>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</si>
  <si>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</si>
  <si>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</si>
  <si>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</si>
  <si>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</si>
  <si>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</si>
  <si>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</si>
  <si>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</si>
  <si>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</si>
  <si>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</si>
  <si>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</si>
  <si>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</si>
  <si>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</si>
  <si>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</si>
  <si>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</si>
  <si>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</si>
  <si>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</si>
  <si>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</si>
  <si>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</si>
  <si>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</si>
  <si>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</si>
  <si>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</si>
  <si>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</si>
  <si>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</si>
  <si>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</si>
  <si>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</si>
  <si>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</si>
  <si>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</si>
  <si>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</si>
  <si>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</si>
  <si>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</si>
  <si>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</si>
  <si>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</si>
  <si>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</si>
  <si>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</si>
  <si>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</si>
  <si>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</si>
  <si>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</si>
  <si>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</si>
  <si>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</si>
  <si>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</si>
  <si>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</si>
  <si>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</si>
  <si>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</si>
  <si>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</si>
  <si>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</si>
  <si>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</si>
  <si>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</si>
  <si>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</si>
  <si>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</si>
  <si>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</si>
  <si>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</si>
  <si>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</si>
  <si>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</si>
  <si>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</si>
  <si>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</si>
  <si>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</si>
  <si>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</si>
  <si>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</si>
  <si>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</si>
  <si>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</si>
  <si>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</si>
  <si>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</si>
  <si>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</si>
  <si>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</si>
  <si>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</si>
  <si>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</si>
  <si>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</si>
  <si>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</si>
  <si>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</si>
  <si>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</si>
  <si>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</si>
  <si>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</si>
  <si>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</si>
  <si>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</si>
  <si>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</si>
  <si>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</si>
  <si>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</si>
  <si>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</si>
  <si>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</si>
  <si>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</si>
  <si>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</si>
  <si>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</si>
  <si>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</si>
  <si>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</si>
  <si>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</si>
  <si>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</si>
  <si>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</si>
  <si>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</si>
  <si>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</si>
  <si>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</si>
  <si>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</si>
  <si>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</si>
  <si>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</si>
  <si>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</si>
  <si>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</si>
  <si>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</si>
  <si>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</si>
  <si>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</si>
  <si>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</si>
  <si>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</si>
  <si>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</si>
  <si>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</si>
  <si>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</si>
  <si>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</si>
  <si>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</si>
  <si>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</si>
  <si>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</si>
  <si>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</si>
  <si>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</si>
  <si>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</si>
  <si>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</si>
  <si>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</si>
  <si>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</si>
  <si>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</si>
  <si>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</si>
  <si>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</si>
  <si>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</si>
  <si>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</si>
  <si>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</si>
  <si>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</si>
  <si>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</si>
  <si>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</si>
  <si>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</si>
  <si>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</si>
  <si>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</si>
  <si>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</si>
  <si>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</si>
  <si>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</si>
  <si>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</si>
  <si>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</si>
  <si>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</si>
  <si>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</si>
  <si>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</si>
  <si>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</si>
  <si>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</si>
  <si>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</si>
  <si>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</si>
  <si>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</si>
  <si>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</si>
  <si>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</si>
  <si>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</si>
  <si>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</si>
  <si>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</si>
  <si>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</si>
  <si>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</si>
  <si>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</si>
  <si>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</si>
  <si>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</si>
  <si>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</si>
  <si>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</si>
  <si>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</si>
  <si>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</si>
  <si>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</si>
  <si>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</si>
  <si>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</si>
  <si>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</si>
  <si>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</si>
  <si>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</si>
  <si>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</si>
  <si>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</si>
  <si>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</si>
  <si>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</si>
  <si>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</si>
  <si>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</si>
  <si>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</si>
  <si>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</si>
  <si>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</si>
  <si>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</si>
  <si>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</si>
  <si>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</si>
  <si>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</si>
  <si>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</si>
  <si>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</si>
  <si>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</si>
  <si>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</si>
  <si>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</si>
  <si>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</si>
  <si>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</si>
  <si>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</si>
  <si>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</si>
  <si>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</si>
  <si>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</si>
  <si>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</si>
  <si>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</si>
  <si>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</si>
  <si>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</si>
  <si>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</si>
  <si>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</si>
  <si>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</si>
  <si>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</si>
  <si>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</si>
  <si>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</si>
  <si>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</si>
  <si>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</si>
  <si>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</si>
  <si>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</si>
  <si>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</si>
  <si>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</si>
  <si>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</si>
  <si>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</si>
  <si>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</si>
  <si>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</si>
  <si>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</si>
  <si>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</si>
  <si>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</si>
  <si>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</si>
  <si>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</si>
  <si>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</si>
  <si>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</si>
  <si>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</si>
  <si>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</si>
  <si>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</si>
  <si>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</si>
  <si>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</si>
  <si>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</si>
  <si>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</si>
  <si>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</si>
  <si>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</si>
  <si>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</si>
  <si>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</si>
  <si>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</si>
  <si>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</si>
  <si>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</si>
  <si>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</si>
  <si>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</si>
  <si>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</si>
  <si>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</si>
  <si>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</si>
  <si>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</si>
  <si>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</si>
  <si>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</si>
  <si>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</si>
  <si>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</si>
  <si>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</si>
  <si>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</si>
  <si>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</si>
  <si>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</si>
  <si>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</si>
  <si>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</si>
  <si>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</si>
  <si>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</si>
  <si>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</si>
  <si>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</si>
  <si>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</si>
  <si>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</si>
  <si>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</si>
  <si>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</si>
  <si>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</si>
  <si>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</si>
  <si>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</si>
  <si>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</si>
  <si>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</si>
  <si>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</si>
  <si>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</si>
  <si>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</si>
  <si>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</si>
  <si>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</si>
  <si>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</si>
  <si>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</si>
  <si>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</si>
  <si>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</si>
  <si>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</si>
  <si>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</si>
  <si>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</si>
  <si>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</si>
  <si>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</si>
  <si>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</si>
  <si>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</si>
  <si>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</si>
  <si>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</si>
  <si>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</si>
  <si>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</si>
  <si>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</si>
  <si>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</si>
  <si>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</si>
  <si>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</si>
  <si>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</si>
  <si>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</si>
  <si>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</si>
  <si>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</si>
  <si>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</si>
  <si>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</si>
  <si>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</si>
  <si>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</si>
  <si>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</si>
  <si>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</si>
  <si>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</si>
  <si>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</si>
  <si>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</si>
  <si>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</si>
  <si>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</si>
  <si>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</si>
  <si>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</si>
  <si>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</si>
  <si>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</si>
  <si>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</si>
  <si>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</si>
  <si>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</si>
  <si>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</si>
  <si>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</si>
  <si>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</si>
  <si>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</si>
  <si>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</si>
  <si>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</si>
  <si>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</si>
  <si>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</si>
  <si>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</si>
  <si>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</si>
  <si>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</si>
  <si>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</si>
  <si>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</si>
  <si>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</si>
  <si>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</si>
  <si>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</si>
  <si>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</si>
  <si>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</si>
  <si>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</si>
  <si>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</si>
  <si>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</si>
  <si>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</si>
  <si>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</si>
  <si>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</si>
  <si>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</si>
  <si>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</si>
  <si>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</si>
  <si>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</si>
  <si>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</si>
  <si>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</si>
  <si>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</si>
  <si>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</si>
  <si>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</si>
  <si>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</si>
  <si>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</si>
  <si>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</si>
  <si>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</si>
  <si>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</si>
  <si>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</si>
  <si>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</si>
  <si>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</si>
  <si>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</si>
  <si>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</si>
  <si>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</si>
  <si>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</si>
  <si>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</si>
  <si>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</si>
  <si>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</si>
  <si>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</si>
  <si>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</si>
  <si>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</si>
  <si>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</si>
  <si>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</si>
  <si>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</si>
  <si>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</si>
  <si>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</si>
  <si>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</si>
  <si>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</si>
  <si>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</si>
  <si>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</si>
  <si>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</si>
  <si>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</si>
  <si>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</si>
  <si>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</si>
  <si>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</si>
  <si>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</si>
  <si>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</si>
  <si>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</si>
  <si>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</si>
  <si>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</si>
  <si>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</si>
  <si>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</si>
  <si>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</si>
  <si>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</si>
  <si>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</si>
  <si>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</si>
  <si>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</si>
  <si>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</si>
  <si>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</si>
  <si>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</si>
  <si>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</si>
  <si>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</si>
  <si>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</si>
  <si>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</si>
  <si>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</si>
  <si>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</si>
  <si>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</si>
  <si>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</si>
  <si>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</si>
  <si>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</si>
  <si>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</si>
  <si>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</si>
  <si>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</si>
  <si>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</si>
  <si>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</si>
  <si>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</si>
  <si>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</si>
  <si>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</si>
  <si>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</si>
  <si>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</si>
  <si>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</si>
  <si>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</si>
  <si>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</si>
  <si>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</si>
  <si>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</si>
  <si>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</si>
  <si>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</si>
  <si>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</si>
  <si>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</si>
  <si>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</si>
  <si>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</si>
  <si>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</si>
  <si>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</si>
  <si>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</si>
  <si>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</si>
  <si>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</si>
  <si>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</si>
  <si>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</si>
  <si>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</si>
  <si>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</si>
  <si>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</si>
  <si>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</si>
  <si>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</si>
  <si>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</si>
  <si>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</si>
  <si>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</si>
  <si>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</si>
  <si>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</si>
  <si>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</si>
  <si>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</si>
  <si>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</si>
  <si>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</si>
  <si>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</si>
  <si>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</si>
  <si>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</si>
  <si>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</si>
  <si>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</si>
  <si>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</si>
  <si>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</si>
  <si>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</si>
  <si>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</si>
  <si>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</si>
  <si>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</si>
  <si>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</si>
  <si>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</si>
  <si>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</si>
  <si>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</si>
  <si>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</si>
  <si>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</si>
  <si>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</si>
  <si>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</si>
  <si>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</si>
  <si>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</si>
  <si>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</si>
  <si>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</si>
  <si>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</si>
  <si>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</si>
  <si>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</si>
  <si>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</si>
  <si>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</si>
  <si>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</si>
  <si>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</si>
  <si>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</si>
  <si>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</si>
  <si>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</si>
  <si>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</si>
  <si>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</si>
  <si>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</si>
  <si>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</si>
  <si>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</si>
  <si>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</si>
  <si>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</si>
  <si>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</si>
  <si>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</si>
  <si>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</si>
  <si>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</si>
  <si>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</si>
  <si>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</si>
  <si>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</si>
  <si>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</si>
  <si>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</si>
  <si>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</si>
  <si>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</si>
  <si>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</si>
  <si>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</si>
  <si>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</si>
  <si>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</si>
  <si>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</si>
  <si>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</si>
  <si>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</si>
  <si>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</si>
  <si>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</si>
  <si>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</si>
  <si>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</si>
  <si>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</si>
  <si>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</si>
  <si>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</si>
  <si>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</si>
  <si>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</si>
  <si>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</si>
  <si>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</si>
  <si>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</si>
  <si>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</si>
  <si>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</si>
  <si>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</si>
  <si>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</si>
  <si>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</si>
  <si>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</si>
  <si>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</si>
  <si>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</si>
  <si>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</si>
  <si>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</si>
  <si>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</si>
  <si>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</si>
  <si>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</si>
  <si>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</si>
  <si>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</si>
  <si>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</si>
  <si>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</si>
  <si>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</si>
  <si>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</si>
  <si>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</si>
  <si>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</si>
  <si>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</si>
  <si>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</si>
  <si>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</si>
  <si>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</si>
  <si>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</si>
  <si>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</si>
  <si>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</si>
  <si>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</si>
  <si>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</si>
  <si>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</si>
  <si>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</si>
  <si>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</si>
  <si>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</si>
  <si>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</si>
  <si>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</si>
  <si>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</si>
  <si>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</si>
  <si>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</si>
  <si>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</si>
  <si>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</si>
  <si>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</si>
  <si>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</si>
  <si>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</si>
  <si>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</si>
  <si>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</si>
  <si>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</si>
  <si>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</si>
  <si>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</si>
  <si>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</si>
  <si>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</si>
  <si>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</si>
  <si>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</si>
  <si>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</si>
  <si>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</si>
  <si>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</si>
  <si>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</si>
  <si>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</si>
  <si>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</si>
  <si>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</si>
  <si>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</si>
  <si>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</si>
  <si>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</si>
  <si>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</si>
  <si>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</si>
  <si>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</si>
  <si>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</si>
  <si>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</si>
  <si>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</si>
  <si>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</si>
  <si>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</si>
  <si>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</si>
  <si>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</si>
  <si>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</si>
  <si>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</si>
  <si>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</si>
  <si>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</si>
  <si>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</si>
  <si>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</si>
  <si>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</si>
  <si>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</si>
  <si>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</si>
  <si>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</si>
  <si>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</si>
  <si>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</si>
  <si>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</si>
  <si>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</si>
  <si>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</si>
  <si>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</si>
  <si>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</si>
  <si>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</si>
  <si>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</si>
  <si>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</si>
  <si>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</si>
  <si>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</si>
  <si>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</si>
  <si>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</si>
  <si>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</si>
  <si>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</si>
  <si>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</si>
  <si>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</si>
  <si>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</si>
  <si>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</si>
  <si>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</si>
  <si>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</si>
  <si>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</si>
  <si>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</si>
  <si>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</si>
  <si>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</si>
  <si>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</si>
  <si>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</si>
  <si>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</si>
  <si>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</si>
  <si>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</si>
  <si>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</si>
  <si>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</si>
  <si>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</si>
  <si>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</si>
  <si>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</si>
  <si>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</si>
  <si>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</si>
  <si>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</si>
  <si>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</si>
  <si>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</si>
  <si>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</si>
  <si>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</si>
  <si>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</si>
  <si>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</si>
  <si>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</si>
  <si>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</si>
  <si>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</si>
  <si>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</si>
  <si>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</si>
  <si>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</si>
  <si>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</si>
  <si>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</si>
  <si>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</si>
  <si>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</si>
  <si>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</si>
  <si>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</si>
  <si>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</si>
  <si>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</si>
  <si>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</si>
  <si>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</si>
  <si>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</si>
  <si>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</si>
  <si>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</si>
  <si>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</si>
  <si>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</si>
  <si>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</si>
  <si>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</si>
  <si>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</si>
  <si>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</si>
  <si>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</si>
  <si>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</si>
  <si>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</si>
  <si>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</si>
  <si>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</si>
  <si>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</si>
  <si>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</si>
  <si>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</si>
  <si>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</si>
  <si>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</si>
  <si>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</si>
  <si>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</si>
  <si>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</si>
  <si>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</si>
  <si>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</si>
  <si>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</si>
  <si>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</si>
  <si>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</si>
  <si>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</si>
  <si>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</si>
  <si>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</si>
  <si>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</si>
  <si>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</si>
  <si>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</si>
  <si>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</si>
  <si>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</si>
  <si>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</si>
  <si>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</si>
  <si>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</si>
  <si>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</si>
  <si>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</si>
  <si>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</si>
  <si>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</si>
  <si>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</si>
  <si>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</si>
  <si>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</si>
  <si>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</si>
  <si>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</si>
  <si>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</si>
  <si>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</si>
  <si>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</si>
  <si>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</si>
  <si>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</si>
  <si>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</si>
  <si>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</si>
  <si>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</si>
  <si>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</si>
  <si>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</si>
  <si>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</si>
  <si>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</si>
  <si>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</si>
  <si>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</si>
  <si>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</si>
  <si>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</si>
  <si>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</si>
  <si>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</si>
  <si>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</si>
  <si>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</si>
  <si>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</si>
  <si>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</si>
  <si>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</si>
  <si>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</si>
  <si>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</si>
  <si>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</si>
  <si>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</si>
  <si>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</si>
  <si>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</si>
  <si>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</si>
  <si>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</si>
  <si>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</si>
  <si>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</si>
  <si>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</si>
  <si>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</si>
  <si>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</si>
  <si>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</si>
  <si>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</si>
  <si>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</si>
  <si>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</si>
  <si>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</si>
  <si>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</si>
  <si>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</si>
  <si>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</si>
  <si>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</si>
  <si>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</si>
  <si>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</si>
  <si>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</si>
  <si>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</si>
  <si>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</si>
  <si>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</si>
  <si>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</si>
  <si>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</si>
  <si>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</si>
  <si>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</si>
  <si>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</si>
  <si>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</si>
  <si>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</si>
  <si>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</si>
  <si>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</si>
  <si>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</si>
  <si>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</si>
  <si>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</si>
  <si>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</si>
  <si>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</si>
  <si>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</si>
  <si>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</si>
  <si>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</si>
  <si>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</si>
  <si>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</si>
  <si>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</si>
  <si>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</si>
  <si>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</si>
  <si>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</si>
  <si>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</si>
  <si>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</si>
  <si>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</si>
  <si>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</si>
  <si>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</si>
  <si>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</si>
  <si>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</si>
  <si>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</si>
  <si>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</si>
  <si>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</si>
  <si>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</si>
  <si>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</si>
  <si>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</si>
  <si>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</si>
  <si>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</si>
  <si>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</si>
  <si>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</si>
  <si>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</si>
  <si>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</si>
  <si>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</si>
  <si>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</si>
  <si>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</si>
  <si>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</si>
  <si>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</si>
  <si>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</si>
  <si>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</si>
  <si>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</si>
  <si>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</si>
  <si>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</si>
  <si>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</si>
  <si>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</si>
  <si>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</si>
  <si>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</si>
  <si>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</si>
  <si>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</si>
  <si>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</si>
  <si>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</si>
  <si>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</si>
  <si>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</si>
  <si>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</si>
  <si>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</si>
  <si>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</si>
  <si>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</si>
  <si>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</si>
  <si>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</si>
  <si>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</si>
  <si>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</si>
  <si>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</si>
  <si>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</si>
  <si>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</si>
  <si>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</si>
  <si>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</si>
  <si>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</si>
  <si>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</si>
  <si>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</si>
  <si>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</si>
  <si>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</si>
  <si>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</si>
  <si>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</si>
  <si>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</si>
  <si>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</si>
  <si>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</si>
  <si>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</si>
  <si>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</si>
  <si>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</si>
  <si>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</si>
  <si>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</si>
  <si>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</si>
  <si>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</si>
  <si>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</si>
  <si>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</si>
  <si>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</si>
  <si>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</si>
  <si>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</si>
  <si>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</si>
  <si>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</si>
  <si>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</si>
  <si>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</si>
  <si>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</si>
  <si>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</si>
  <si>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</si>
  <si>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</si>
  <si>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</si>
  <si>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</si>
  <si>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</si>
  <si>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</si>
  <si>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</si>
  <si>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</si>
  <si>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</si>
  <si>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</si>
  <si>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</si>
  <si>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</si>
  <si>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</si>
  <si>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</si>
  <si>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</si>
  <si>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</si>
  <si>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</si>
  <si>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</si>
  <si>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</si>
  <si>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</si>
  <si>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</si>
  <si>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</si>
  <si>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</si>
  <si>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</si>
  <si>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</si>
  <si>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</si>
  <si>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</si>
  <si>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</si>
  <si>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</si>
  <si>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</si>
  <si>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</si>
  <si>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</si>
  <si>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</si>
  <si>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</si>
  <si>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</si>
  <si>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</si>
  <si>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</si>
  <si>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</si>
  <si>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</si>
  <si>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</si>
  <si>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</si>
  <si>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</si>
  <si>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</si>
  <si>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</si>
  <si>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</si>
  <si>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</si>
  <si>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</si>
  <si>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</si>
  <si>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</si>
  <si>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</si>
  <si>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</si>
  <si>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</si>
  <si>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</si>
  <si>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</si>
  <si>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</si>
  <si>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</si>
  <si>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</si>
  <si>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</si>
  <si>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</si>
  <si>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</si>
  <si>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</si>
  <si>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</si>
  <si>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</si>
  <si>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</si>
  <si>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</si>
  <si>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</si>
  <si>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</si>
  <si>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</si>
  <si>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</si>
  <si>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</si>
  <si>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</si>
  <si>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</si>
  <si>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</si>
  <si>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</si>
  <si>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</si>
  <si>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</si>
  <si>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</si>
  <si>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</si>
  <si>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</si>
  <si>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</si>
  <si>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</si>
  <si>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</si>
  <si>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</si>
  <si>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</si>
  <si>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</si>
  <si>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</si>
  <si>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</si>
  <si>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</si>
  <si>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</si>
  <si>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</si>
  <si>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</si>
  <si>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</si>
  <si>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</si>
  <si>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</si>
  <si>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</si>
  <si>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</si>
  <si>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</si>
  <si>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</si>
  <si>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</si>
  <si>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</si>
  <si>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</si>
  <si>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</si>
  <si>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</si>
  <si>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</si>
  <si>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</si>
  <si>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</si>
  <si>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</si>
  <si>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</si>
  <si>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</si>
  <si>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</si>
  <si>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</si>
  <si>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</si>
  <si>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</si>
  <si>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</si>
  <si>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</si>
  <si>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</si>
  <si>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</si>
  <si>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</si>
  <si>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</si>
  <si>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</si>
  <si>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</si>
  <si>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</si>
  <si>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</si>
  <si>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</si>
  <si>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</si>
  <si>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</si>
  <si>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</si>
  <si>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</si>
  <si>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</si>
  <si>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</si>
  <si>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</si>
  <si>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</si>
  <si>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</si>
  <si>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</si>
  <si>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</si>
  <si>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</si>
  <si>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</si>
  <si>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</si>
  <si>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</si>
  <si>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</si>
  <si>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</si>
  <si>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</si>
  <si>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</si>
  <si>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</si>
  <si>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</si>
  <si>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</si>
  <si>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</si>
  <si>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</si>
  <si>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</si>
  <si>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</si>
  <si>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</si>
  <si>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</si>
  <si>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</si>
  <si>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</si>
  <si>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</si>
  <si>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</si>
  <si>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</si>
  <si>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</si>
  <si>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</si>
  <si>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</si>
  <si>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</si>
  <si>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</si>
  <si>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</si>
  <si>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</si>
  <si>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</si>
  <si>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</si>
  <si>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</si>
  <si>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</si>
  <si>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</si>
  <si>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</si>
  <si>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</si>
  <si>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</si>
  <si>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</si>
  <si>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</si>
  <si>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</si>
  <si>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</si>
  <si>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</si>
  <si>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</si>
  <si>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</si>
  <si>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</si>
  <si>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</si>
  <si>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</si>
  <si>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</si>
  <si>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</si>
  <si>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</si>
  <si>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</si>
  <si>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</si>
  <si>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</si>
  <si>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</si>
  <si>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</si>
  <si>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</si>
  <si>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</si>
  <si>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</si>
  <si>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</si>
  <si>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</si>
  <si>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</si>
  <si>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</si>
  <si>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</si>
  <si>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</si>
  <si>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</si>
  <si>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</si>
  <si>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</si>
  <si>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</si>
  <si>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</si>
  <si>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</si>
  <si>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</si>
  <si>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</si>
  <si>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</si>
  <si>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</si>
  <si>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</si>
  <si>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</si>
  <si>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</si>
  <si>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</si>
  <si>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</si>
  <si>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</si>
  <si>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</si>
  <si>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</si>
  <si>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</si>
  <si>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</si>
  <si>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</si>
  <si>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</si>
  <si>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</si>
  <si>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</si>
  <si>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</si>
  <si>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</si>
  <si>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</si>
  <si>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</si>
  <si>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</si>
  <si>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</si>
  <si>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</si>
  <si>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</si>
  <si>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</si>
  <si>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</si>
  <si>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</si>
  <si>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</si>
  <si>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</si>
  <si>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</si>
  <si>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</si>
  <si>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</si>
  <si>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</si>
  <si>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</si>
  <si>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</si>
  <si>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</si>
  <si>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</si>
  <si>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</si>
  <si>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</si>
  <si>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</si>
  <si>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</si>
  <si>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</si>
  <si>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</si>
  <si>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</si>
  <si>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</si>
  <si>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</si>
  <si>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</si>
  <si>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</si>
  <si>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</si>
  <si>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</si>
  <si>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</si>
  <si>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</si>
  <si>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</si>
  <si>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</si>
  <si>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</si>
  <si>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</si>
  <si>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</si>
  <si>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</si>
  <si>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</si>
  <si>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</si>
  <si>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</si>
  <si>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</si>
  <si>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</si>
  <si>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</si>
  <si>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</si>
  <si>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</si>
  <si>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</si>
  <si>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</si>
  <si>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</si>
  <si>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</si>
  <si>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</si>
  <si>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</si>
  <si>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</si>
  <si>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</si>
  <si>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</si>
  <si>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</si>
  <si>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</si>
  <si>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</si>
  <si>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</si>
  <si>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</si>
  <si>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</si>
  <si>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</si>
  <si>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</si>
  <si>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</si>
  <si>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</si>
  <si>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</si>
  <si>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</si>
  <si>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</si>
  <si>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</si>
  <si>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</si>
  <si>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</si>
  <si>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</si>
  <si>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</si>
  <si>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</si>
  <si>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</si>
  <si>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</si>
  <si>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</si>
  <si>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</si>
  <si>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</si>
  <si>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</si>
  <si>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</si>
  <si>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</si>
  <si>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</si>
  <si>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</si>
  <si>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</si>
  <si>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</si>
  <si>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</si>
  <si>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</si>
  <si>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</si>
  <si>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</si>
  <si>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</si>
  <si>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</si>
  <si>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</si>
  <si>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</si>
  <si>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</si>
  <si>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</si>
  <si>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</si>
  <si>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</si>
  <si>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</si>
  <si>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</si>
  <si>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</si>
  <si>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</si>
  <si>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</si>
  <si>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</si>
  <si>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</si>
  <si>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</si>
  <si>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</si>
  <si>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</si>
  <si>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</si>
  <si>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</si>
  <si>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</si>
  <si>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</si>
  <si>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</si>
  <si>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</si>
  <si>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</si>
  <si>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</si>
  <si>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</si>
  <si>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</si>
  <si>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</si>
  <si>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</si>
  <si>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</si>
  <si>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</si>
  <si>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</si>
  <si>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</si>
  <si>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</si>
  <si>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</si>
  <si>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</si>
  <si>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</si>
  <si>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</si>
  <si>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</si>
  <si>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</si>
  <si>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</si>
  <si>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</si>
  <si>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</si>
  <si>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</si>
  <si>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</si>
  <si>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</si>
  <si>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</si>
  <si>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</si>
  <si>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</si>
  <si>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</si>
  <si>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</si>
  <si>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</si>
  <si>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</si>
  <si>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</si>
  <si>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</si>
  <si>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</si>
  <si>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</si>
  <si>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</si>
  <si>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</si>
  <si>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</si>
  <si>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</si>
  <si>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</si>
  <si>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</si>
  <si>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</si>
  <si>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</si>
  <si>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</si>
  <si>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</si>
  <si>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</si>
  <si>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</si>
  <si>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</si>
  <si>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</si>
  <si>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</si>
  <si>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</si>
  <si>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</si>
  <si>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</si>
  <si>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</si>
  <si>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</si>
  <si>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</si>
  <si>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</si>
  <si>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</si>
  <si>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</si>
  <si>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</si>
  <si>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</si>
  <si>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</si>
  <si>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</si>
  <si>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</si>
  <si>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</si>
  <si>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</si>
  <si>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</si>
  <si>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</si>
  <si>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</si>
  <si>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</si>
  <si>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</si>
  <si>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</si>
  <si>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</si>
  <si>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</si>
  <si>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</si>
  <si>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</si>
  <si>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</si>
  <si>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</si>
  <si>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</si>
  <si>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</si>
  <si>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</si>
  <si>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</si>
  <si>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</si>
  <si>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</si>
  <si>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</si>
  <si>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</si>
  <si>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</si>
  <si>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</si>
  <si>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</si>
  <si>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</si>
  <si>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</si>
  <si>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</si>
  <si>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</si>
  <si>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</si>
  <si>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</si>
  <si>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</si>
  <si>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</si>
  <si>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</si>
  <si>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</si>
  <si>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</si>
  <si>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</si>
  <si>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</si>
  <si>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</si>
  <si>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</si>
  <si>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</si>
  <si>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</si>
  <si>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</si>
  <si>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</si>
  <si>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</si>
  <si>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</si>
  <si>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</si>
  <si>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</si>
  <si>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</si>
  <si>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</si>
  <si>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</si>
  <si>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</si>
  <si>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</si>
  <si>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</si>
  <si>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</si>
  <si>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</si>
  <si>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</si>
  <si>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</si>
  <si>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</si>
  <si>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</si>
  <si>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</si>
  <si>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</si>
  <si>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</si>
  <si>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</si>
  <si>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</si>
  <si>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</si>
  <si>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</si>
  <si>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</si>
  <si>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</si>
  <si>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</si>
  <si>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</si>
  <si>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</si>
  <si>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</si>
  <si>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</si>
  <si>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</si>
  <si>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</si>
  <si>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</si>
  <si>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</si>
  <si>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</si>
  <si>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</si>
  <si>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</si>
  <si>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</si>
  <si>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</si>
  <si>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</si>
  <si>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</si>
  <si>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</si>
  <si>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</si>
  <si>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</si>
  <si>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</si>
  <si>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</si>
  <si>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</si>
  <si>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</si>
  <si>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</si>
  <si>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</si>
  <si>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</si>
  <si>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</si>
  <si>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</si>
  <si>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</si>
  <si>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</si>
  <si>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</si>
  <si>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</si>
  <si>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</si>
  <si>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</si>
  <si>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</si>
  <si>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</si>
  <si>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</si>
  <si>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</si>
  <si>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</si>
  <si>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</si>
  <si>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</si>
  <si>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</si>
  <si>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</si>
  <si>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</si>
  <si>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</si>
  <si>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</si>
  <si>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</si>
  <si>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</si>
  <si>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</si>
  <si>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</si>
  <si>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</si>
  <si>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</si>
  <si>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</si>
  <si>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</si>
  <si>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</si>
  <si>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</si>
  <si>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</si>
  <si>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</si>
  <si>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</si>
  <si>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</si>
  <si>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</si>
  <si>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</si>
  <si>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</si>
  <si>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</si>
  <si>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</si>
  <si>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</si>
  <si>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</si>
  <si>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</si>
  <si>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</si>
  <si>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</si>
  <si>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</si>
  <si>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</si>
  <si>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</si>
  <si>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</si>
  <si>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</si>
  <si>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</si>
  <si>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</si>
  <si>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</si>
  <si>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</si>
  <si>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</si>
  <si>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</si>
  <si>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</si>
  <si>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</si>
  <si>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</si>
  <si>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</si>
  <si>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</si>
  <si>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</si>
  <si>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</si>
  <si>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</si>
  <si>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</si>
  <si>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</si>
  <si>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</si>
  <si>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</si>
  <si>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</si>
  <si>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</si>
  <si>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</si>
  <si>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</si>
  <si>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</si>
  <si>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</si>
  <si>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</si>
  <si>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</si>
  <si>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</si>
  <si>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</si>
  <si>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</si>
  <si>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</si>
  <si>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</si>
  <si>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</si>
  <si>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</si>
  <si>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</si>
  <si>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</si>
  <si>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</si>
  <si>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</si>
  <si>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</si>
  <si>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</si>
  <si>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</si>
  <si>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</si>
  <si>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</si>
  <si>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</si>
  <si>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</si>
  <si>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</si>
  <si>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</si>
  <si>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</si>
  <si>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</si>
  <si>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</si>
  <si>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</si>
  <si>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</si>
  <si>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</si>
  <si>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</si>
  <si>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</si>
  <si>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</si>
  <si>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</si>
  <si>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</si>
  <si>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</si>
  <si>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</si>
  <si>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</si>
  <si>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</si>
  <si>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</si>
  <si>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</si>
  <si>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</si>
  <si>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</si>
  <si>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</si>
  <si>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</si>
  <si>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</si>
  <si>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</si>
  <si>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</si>
  <si>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</si>
  <si>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</si>
  <si>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</si>
  <si>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</si>
  <si>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</si>
  <si>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</si>
  <si>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</si>
  <si>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</si>
  <si>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</si>
  <si>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</si>
  <si>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</si>
  <si>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</si>
  <si>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</si>
  <si>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</si>
  <si>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</si>
  <si>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</si>
  <si>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</si>
  <si>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</si>
  <si>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</si>
  <si>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</si>
  <si>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</si>
  <si>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</si>
  <si>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</si>
  <si>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</si>
  <si>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</si>
  <si>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</si>
  <si>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</si>
  <si>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</si>
  <si>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</si>
  <si>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</si>
  <si>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</si>
  <si>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</si>
  <si>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</si>
  <si>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</si>
  <si>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</si>
  <si>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</si>
  <si>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</si>
  <si>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</si>
  <si>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</si>
  <si>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</si>
  <si>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</si>
  <si>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</si>
  <si>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</si>
  <si>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</si>
  <si>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</si>
  <si>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</si>
  <si>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</si>
  <si>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</si>
  <si>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</si>
  <si>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</si>
  <si>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</si>
  <si>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</si>
  <si>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</si>
  <si>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</si>
  <si>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</si>
  <si>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</si>
  <si>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</si>
  <si>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</si>
  <si>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</si>
  <si>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</si>
  <si>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</si>
  <si>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</si>
  <si>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</si>
  <si>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</si>
  <si>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</si>
  <si>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</si>
  <si>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</si>
  <si>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</si>
  <si>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</si>
  <si>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</si>
  <si>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</si>
  <si>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</si>
  <si>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</si>
  <si>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</si>
  <si>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</si>
  <si>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</si>
  <si>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</si>
  <si>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</si>
  <si>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</si>
  <si>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</si>
  <si>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</si>
  <si>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</si>
  <si>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</si>
  <si>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</si>
  <si>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</si>
  <si>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</si>
  <si>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</si>
  <si>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</si>
  <si>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</si>
  <si>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</si>
  <si>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</si>
  <si>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</si>
  <si>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</si>
  <si>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</si>
  <si>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</si>
  <si>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</si>
  <si>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</si>
  <si>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</si>
  <si>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</si>
  <si>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</si>
  <si>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</si>
  <si>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</si>
  <si>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</si>
  <si>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</si>
  <si>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</si>
  <si>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</si>
  <si>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</si>
  <si>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</si>
  <si>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</si>
  <si>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</si>
  <si>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</si>
  <si>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</si>
  <si>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</si>
  <si>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</si>
  <si>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</si>
  <si>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</si>
  <si>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</si>
  <si>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</si>
  <si>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</si>
  <si>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</si>
  <si>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</si>
  <si>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</si>
  <si>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</si>
  <si>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</si>
  <si>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</si>
  <si>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</si>
  <si>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</si>
  <si>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</si>
  <si>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</si>
  <si>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</si>
  <si>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</si>
  <si>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</si>
  <si>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</si>
  <si>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</si>
  <si>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</si>
  <si>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</si>
  <si>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</si>
  <si>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</si>
  <si>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</si>
  <si>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</si>
  <si>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</si>
  <si>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</si>
  <si>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</si>
  <si>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</si>
  <si>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</si>
  <si>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</si>
  <si>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</si>
  <si>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</si>
  <si>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</si>
  <si>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</si>
  <si>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</si>
  <si>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</si>
  <si>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</si>
  <si>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</si>
  <si>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</si>
  <si>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</si>
  <si>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</si>
  <si>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</si>
  <si>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</si>
  <si>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</si>
  <si>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</si>
  <si>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</si>
  <si>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</si>
  <si>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</si>
  <si>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</si>
  <si>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</si>
  <si>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</si>
  <si>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</si>
  <si>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</si>
  <si>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</si>
  <si>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</si>
  <si>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</si>
  <si>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</si>
  <si>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</si>
  <si>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</si>
  <si>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</si>
  <si>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</si>
  <si>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</si>
  <si>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</si>
  <si>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</si>
  <si>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</si>
  <si>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</si>
  <si>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</si>
  <si>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</si>
  <si>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</si>
  <si>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</si>
  <si>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</si>
  <si>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</si>
  <si>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</si>
  <si>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</si>
  <si>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</si>
  <si>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</si>
  <si>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</si>
  <si>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</si>
  <si>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</si>
  <si>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</si>
  <si>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</si>
  <si>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</si>
  <si>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</si>
  <si>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</si>
  <si>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</si>
  <si>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</si>
  <si>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</si>
  <si>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</si>
  <si>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</si>
  <si>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</si>
  <si>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</si>
  <si>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</si>
  <si>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</si>
  <si>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</si>
  <si>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</si>
  <si>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</si>
  <si>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</si>
  <si>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</si>
  <si>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</si>
  <si>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</si>
  <si>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</si>
  <si>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</si>
  <si>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</si>
  <si>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</si>
  <si>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</si>
  <si>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</si>
  <si>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</si>
  <si>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</si>
  <si>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</si>
  <si>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</si>
  <si>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</si>
  <si>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</si>
  <si>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</si>
  <si>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</si>
  <si>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</si>
  <si>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</si>
  <si>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</si>
  <si>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</si>
  <si>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</si>
  <si>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</si>
  <si>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</si>
  <si>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</si>
  <si>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</si>
  <si>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</si>
  <si>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</si>
  <si>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</si>
  <si>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</si>
  <si>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</si>
  <si>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</si>
  <si>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</si>
  <si>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</si>
  <si>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</si>
  <si>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</si>
  <si>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</si>
  <si>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</si>
  <si>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</si>
  <si>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</si>
  <si>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</si>
  <si>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</si>
  <si>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</si>
  <si>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</si>
  <si>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</si>
  <si>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</si>
  <si>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</si>
  <si>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</si>
  <si>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</si>
  <si>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</si>
  <si>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</si>
  <si>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</si>
  <si>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</si>
  <si>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</si>
  <si>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</si>
  <si>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</si>
  <si>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</si>
  <si>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</si>
  <si>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</si>
  <si>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</si>
  <si>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</si>
  <si>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</si>
  <si>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</si>
  <si>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</si>
  <si>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</si>
  <si>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</si>
  <si>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</si>
  <si>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</si>
  <si>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</si>
  <si>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</si>
  <si>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</si>
  <si>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</si>
  <si>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</si>
  <si>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</si>
  <si>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</si>
  <si>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</si>
  <si>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</si>
  <si>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</si>
  <si>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</si>
  <si>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</si>
  <si>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</si>
  <si>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</si>
  <si>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</si>
  <si>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</si>
  <si>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</si>
  <si>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</si>
  <si>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</si>
  <si>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</si>
  <si>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</si>
  <si>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</si>
  <si>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</si>
  <si>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</si>
  <si>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</si>
  <si>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</si>
  <si>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</si>
  <si>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</si>
  <si>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</si>
  <si>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</si>
  <si>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</si>
  <si>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</si>
  <si>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</si>
  <si>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</si>
  <si>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</si>
  <si>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</si>
  <si>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</si>
  <si>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</si>
  <si>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</si>
  <si>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</si>
  <si>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</si>
  <si>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</si>
  <si>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</si>
  <si>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</si>
  <si>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</si>
  <si>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</si>
  <si>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</si>
  <si>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</si>
  <si>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</si>
  <si>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</si>
  <si>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</si>
  <si>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</si>
  <si>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</si>
  <si>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</si>
  <si>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</si>
  <si>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</si>
  <si>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</si>
  <si>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</si>
  <si>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</si>
  <si>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</si>
  <si>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</si>
  <si>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</si>
  <si>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</si>
  <si>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</si>
  <si>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</si>
  <si>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</si>
  <si>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</si>
  <si>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</si>
  <si>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</si>
  <si>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</si>
  <si>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</si>
  <si>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</si>
  <si>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</si>
  <si>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</si>
  <si>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</si>
  <si>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</si>
  <si>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</si>
  <si>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</si>
  <si>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</si>
  <si>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</si>
  <si>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</si>
  <si>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</si>
  <si>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</si>
  <si>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</si>
  <si>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</si>
  <si>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</si>
  <si>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</si>
  <si>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</si>
  <si>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</si>
  <si>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</si>
  <si>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</si>
  <si>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</si>
  <si>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</si>
  <si>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</si>
  <si>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</si>
  <si>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</si>
  <si>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</si>
  <si>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</si>
  <si>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</si>
  <si>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</si>
  <si>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</si>
  <si>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</si>
  <si>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</si>
  <si>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</si>
  <si>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</si>
  <si>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</si>
  <si>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</si>
  <si>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</si>
  <si>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</si>
  <si>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</si>
  <si>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</si>
  <si>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</si>
  <si>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</si>
  <si>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</si>
  <si>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</si>
  <si>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</si>
  <si>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</si>
  <si>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</si>
  <si>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</si>
  <si>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</si>
  <si>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</si>
  <si>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</si>
  <si>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</si>
  <si>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</si>
  <si>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</si>
  <si>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</si>
  <si>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</si>
  <si>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</si>
  <si>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</si>
  <si>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</si>
  <si>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</si>
  <si>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</si>
  <si>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</si>
  <si>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</si>
  <si>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</si>
  <si>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</si>
  <si>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</si>
  <si>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</si>
  <si>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</si>
  <si>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</si>
  <si>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</si>
  <si>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</si>
  <si>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</si>
  <si>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</si>
  <si>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</si>
  <si>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</si>
  <si>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</si>
  <si>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</si>
  <si>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</si>
  <si>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</si>
  <si>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</si>
  <si>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</si>
  <si>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</si>
  <si>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</si>
  <si>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</si>
  <si>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</si>
  <si>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</si>
  <si>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</si>
  <si>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</si>
  <si>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</si>
  <si>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</si>
  <si>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</si>
  <si>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</si>
  <si>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</si>
  <si>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</si>
  <si>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</si>
  <si>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</si>
  <si>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</si>
  <si>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</si>
  <si>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</si>
  <si>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</si>
  <si>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</si>
  <si>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</si>
  <si>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</si>
  <si>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</si>
  <si>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</si>
  <si>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</si>
  <si>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</si>
  <si>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</si>
  <si>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</si>
  <si>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</si>
  <si>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</si>
  <si>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</si>
  <si>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</si>
  <si>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</si>
  <si>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</si>
  <si>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</si>
  <si>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</si>
  <si>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</si>
  <si>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</si>
  <si>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</si>
  <si>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</si>
  <si>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</si>
  <si>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</si>
  <si>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</si>
  <si>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</si>
  <si>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</si>
  <si>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</si>
  <si>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</si>
  <si>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</si>
  <si>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</si>
  <si>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</si>
  <si>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</si>
  <si>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</si>
  <si>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</si>
  <si>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</si>
  <si>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</si>
  <si>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</si>
  <si>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</si>
  <si>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</si>
  <si>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</si>
  <si>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</si>
  <si>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</si>
  <si>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</si>
  <si>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</si>
  <si>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</si>
  <si>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</si>
  <si>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</si>
  <si>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</si>
  <si>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</si>
  <si>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</si>
  <si>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</si>
  <si>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</si>
  <si>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</si>
  <si>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</si>
  <si>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</si>
  <si>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</si>
  <si>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</si>
  <si>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</si>
  <si>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</si>
  <si>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</si>
  <si>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</si>
  <si>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</si>
  <si>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</si>
  <si>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</si>
  <si>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</si>
  <si>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</si>
  <si>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</si>
  <si>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</si>
  <si>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</si>
  <si>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</si>
  <si>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</si>
  <si>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</si>
  <si>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</si>
  <si>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</si>
  <si>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</si>
  <si>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</si>
  <si>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</si>
  <si>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</si>
  <si>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</si>
  <si>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</si>
  <si>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</si>
  <si>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</si>
  <si>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</si>
  <si>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</si>
  <si>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</si>
  <si>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</si>
  <si>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</si>
  <si>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</si>
  <si>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</si>
  <si>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</si>
  <si>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</si>
  <si>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</si>
  <si>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</si>
  <si>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</si>
  <si>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</si>
  <si>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</si>
  <si>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</si>
  <si>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</si>
  <si>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</si>
  <si>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</si>
  <si>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</si>
  <si>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</si>
  <si>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</si>
  <si>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</si>
  <si>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</si>
  <si>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</si>
  <si>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</si>
  <si>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</si>
  <si>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</si>
  <si>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</si>
  <si>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</si>
  <si>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</si>
  <si>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</si>
  <si>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</si>
  <si>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</si>
  <si>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</si>
  <si>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</si>
  <si>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</si>
  <si>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</si>
  <si>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</si>
  <si>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</si>
  <si>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</si>
  <si>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</si>
  <si>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</si>
  <si>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</si>
  <si>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</si>
  <si>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</si>
  <si>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</si>
  <si>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</si>
  <si>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</si>
  <si>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</si>
  <si>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</si>
  <si>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</si>
  <si>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</si>
  <si>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</si>
  <si>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</si>
  <si>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</si>
  <si>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</si>
  <si>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</si>
  <si>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</si>
  <si>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</si>
  <si>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</si>
  <si>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</si>
  <si>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</si>
  <si>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</si>
  <si>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</si>
  <si>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</si>
  <si>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</si>
  <si>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</si>
  <si>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</si>
  <si>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</si>
  <si>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</si>
  <si>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</si>
  <si>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</si>
  <si>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</si>
  <si>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</si>
  <si>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</si>
  <si>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</si>
  <si>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</si>
  <si>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</si>
  <si>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</si>
  <si>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</si>
  <si>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</si>
  <si>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</si>
  <si>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</si>
  <si>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</si>
  <si>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</si>
  <si>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</si>
  <si>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</si>
  <si>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</si>
  <si>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</si>
  <si>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</si>
  <si>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</si>
  <si>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</si>
  <si>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</si>
  <si>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</si>
  <si>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</si>
  <si>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</si>
  <si>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</si>
  <si>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</si>
  <si>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</si>
  <si>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</si>
  <si>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</si>
  <si>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</si>
  <si>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</si>
  <si>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</si>
  <si>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</si>
  <si>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</si>
  <si>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</si>
  <si>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</si>
  <si>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</si>
  <si>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</si>
  <si>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</si>
  <si>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</si>
  <si>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</si>
  <si>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</si>
  <si>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</si>
  <si>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</si>
  <si>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</si>
  <si>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</si>
  <si>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</si>
  <si>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</si>
  <si>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</si>
  <si>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</si>
  <si>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</si>
  <si>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</si>
  <si>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</si>
  <si>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</si>
  <si>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</si>
  <si>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</si>
  <si>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</si>
  <si>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</si>
  <si>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</si>
  <si>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</si>
  <si>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</si>
  <si>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</si>
  <si>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</si>
  <si>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</si>
  <si>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</si>
  <si>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</si>
  <si>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</si>
  <si>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</si>
  <si>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</si>
  <si>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</si>
  <si>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</si>
  <si>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</si>
  <si>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</si>
  <si>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</si>
  <si>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</si>
  <si>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</si>
  <si>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</si>
  <si>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</si>
  <si>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</si>
  <si>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</si>
  <si>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</si>
  <si>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</si>
  <si>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</si>
  <si>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</si>
  <si>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</si>
  <si>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</si>
  <si>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</si>
  <si>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</si>
  <si>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</si>
  <si>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</si>
  <si>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</si>
  <si>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</si>
  <si>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</si>
  <si>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</si>
  <si>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</si>
  <si>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</si>
  <si>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</si>
  <si>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</si>
  <si>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</si>
  <si>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</si>
  <si>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</si>
  <si>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</si>
  <si>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</si>
  <si>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</si>
  <si>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</si>
  <si>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</si>
  <si>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</si>
  <si>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</si>
  <si>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</si>
  <si>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</si>
  <si>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</si>
  <si>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</si>
  <si>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</si>
  <si>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</si>
  <si>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</si>
  <si>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</si>
  <si>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</si>
  <si>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</si>
  <si>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</si>
  <si>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</si>
  <si>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</si>
  <si>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</si>
  <si>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</si>
  <si>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</si>
  <si>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</si>
  <si>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</si>
  <si>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</si>
  <si>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</si>
  <si>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</si>
  <si>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</si>
  <si>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</si>
  <si>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</si>
  <si>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</si>
  <si>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</si>
  <si>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</si>
  <si>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</si>
  <si>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</si>
  <si>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</si>
  <si>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</si>
  <si>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</si>
  <si>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</si>
  <si>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</si>
  <si>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</si>
  <si>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</si>
  <si>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</si>
  <si>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</si>
  <si>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</si>
  <si>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</si>
  <si>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</si>
  <si>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</si>
  <si>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</si>
  <si>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</si>
  <si>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</si>
  <si>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</si>
  <si>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</si>
  <si>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</si>
  <si>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</si>
  <si>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</si>
  <si>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</si>
  <si>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</si>
  <si>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</si>
  <si>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</si>
  <si>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</si>
  <si>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</si>
  <si>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</si>
  <si>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</si>
  <si>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</si>
  <si>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</si>
  <si>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</si>
  <si>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</si>
  <si>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</si>
  <si>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</si>
  <si>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</si>
  <si>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</si>
  <si>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</si>
  <si>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</si>
  <si>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</si>
  <si>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</si>
  <si>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</si>
  <si>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</si>
  <si>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</si>
  <si>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</si>
  <si>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</si>
  <si>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</si>
  <si>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</si>
  <si>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</si>
  <si>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</si>
  <si>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</si>
  <si>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</si>
  <si>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</si>
  <si>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</si>
  <si>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</si>
  <si>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</si>
  <si>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</si>
  <si>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</si>
  <si>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</si>
  <si>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</si>
  <si>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</si>
  <si>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</si>
  <si>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</si>
  <si>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</si>
  <si>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</si>
  <si>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</si>
  <si>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</si>
  <si>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</si>
  <si>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</si>
  <si>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</si>
  <si>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</si>
  <si>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</si>
  <si>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</si>
  <si>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</si>
  <si>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</si>
  <si>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</si>
  <si>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</si>
  <si>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</si>
  <si>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</si>
  <si>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</si>
  <si>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</si>
  <si>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</si>
  <si>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</si>
  <si>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</si>
  <si>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</si>
  <si>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</si>
  <si>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</si>
  <si>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</si>
  <si>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</si>
  <si>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</si>
  <si>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</si>
  <si>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</si>
  <si>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</si>
  <si>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</si>
  <si>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</si>
  <si>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</si>
  <si>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</si>
  <si>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</si>
  <si>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</si>
  <si>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</si>
  <si>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</si>
  <si>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</si>
  <si>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</si>
  <si>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</si>
  <si>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</si>
  <si>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</si>
  <si>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</si>
  <si>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</si>
  <si>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</si>
  <si>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</si>
  <si>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</si>
  <si>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</si>
  <si>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</si>
  <si>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</si>
  <si>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</si>
  <si>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</si>
  <si>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</si>
  <si>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</si>
  <si>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</si>
  <si>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</si>
  <si>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</si>
  <si>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</si>
  <si>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</si>
  <si>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</si>
  <si>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</si>
  <si>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</si>
  <si>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</si>
  <si>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</si>
  <si>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</si>
  <si>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</si>
  <si>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</si>
  <si>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</si>
  <si>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</si>
  <si>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</si>
  <si>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</si>
  <si>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</si>
  <si>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</si>
  <si>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</si>
  <si>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</si>
  <si>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</si>
  <si>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</si>
  <si>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</si>
  <si>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</si>
  <si>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</si>
  <si>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</si>
  <si>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</si>
  <si>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</si>
  <si>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</si>
  <si>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</si>
  <si>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</si>
  <si>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</si>
  <si>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</si>
  <si>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</si>
  <si>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</si>
  <si>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</si>
  <si>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</si>
  <si>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</si>
  <si>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</si>
  <si>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</si>
  <si>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</si>
  <si>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</si>
  <si>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</si>
  <si>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</si>
  <si>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</si>
  <si>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</si>
  <si>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</si>
  <si>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</si>
  <si>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</si>
  <si>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</si>
  <si>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</si>
  <si>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</si>
  <si>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</si>
  <si>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</si>
  <si>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</si>
  <si>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</si>
  <si>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</si>
  <si>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</si>
  <si>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</si>
  <si>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</si>
  <si>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</si>
  <si>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</si>
  <si>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</si>
  <si>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</si>
  <si>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</si>
  <si>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</si>
  <si>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</si>
  <si>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</si>
  <si>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</si>
  <si>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</si>
  <si>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</si>
  <si>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</si>
  <si>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</si>
  <si>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</si>
  <si>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</si>
  <si>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</si>
  <si>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</si>
  <si>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</si>
  <si>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</si>
  <si>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</si>
  <si>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</si>
  <si>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</si>
  <si>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</si>
  <si>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</si>
  <si>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</si>
  <si>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</si>
  <si>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</si>
  <si>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</si>
  <si>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</si>
  <si>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</si>
  <si>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</si>
  <si>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</si>
  <si>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</si>
  <si>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</si>
  <si>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</si>
  <si>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</si>
  <si>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</si>
  <si>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</si>
  <si>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</si>
  <si>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</si>
  <si>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</si>
  <si>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</si>
  <si>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</si>
  <si>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</si>
  <si>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</si>
  <si>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</si>
  <si>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</si>
  <si>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</si>
  <si>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</si>
  <si>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</si>
  <si>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</si>
  <si>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</si>
  <si>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</si>
  <si>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</si>
  <si>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</si>
  <si>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</si>
  <si>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</si>
  <si>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</si>
  <si>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</si>
  <si>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</si>
  <si>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</si>
  <si>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</si>
  <si>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</si>
  <si>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</si>
  <si>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</si>
  <si>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</si>
  <si>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</si>
  <si>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</si>
  <si>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</si>
  <si>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</si>
  <si>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</si>
  <si>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</si>
  <si>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</si>
  <si>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</si>
  <si>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</si>
  <si>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</si>
  <si>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</si>
  <si>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</si>
  <si>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</si>
  <si>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</si>
  <si>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</si>
  <si>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</si>
  <si>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</si>
  <si>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</si>
  <si>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</si>
  <si>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</si>
  <si>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</si>
  <si>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</si>
  <si>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</si>
  <si>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</si>
  <si>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</si>
  <si>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</si>
  <si>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</si>
  <si>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</si>
  <si>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</si>
  <si>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</si>
  <si>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</si>
  <si>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</si>
  <si>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</si>
  <si>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</si>
  <si>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</si>
  <si>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</si>
  <si>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</si>
  <si>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</si>
  <si>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</si>
  <si>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</si>
  <si>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</si>
  <si>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</si>
  <si>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</si>
  <si>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</si>
  <si>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</si>
  <si>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</si>
  <si>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</si>
  <si>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</si>
  <si>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</si>
  <si>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</si>
  <si>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</si>
  <si>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</si>
  <si>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</si>
  <si>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</si>
  <si>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</si>
  <si>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</si>
  <si>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</si>
  <si>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</si>
  <si>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</si>
  <si>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</si>
  <si>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</si>
  <si>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</si>
  <si>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</si>
  <si>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</si>
  <si>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</si>
  <si>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</si>
  <si>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</si>
  <si>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</si>
  <si>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</si>
  <si>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</si>
  <si>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</si>
  <si>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</si>
  <si>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</si>
  <si>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</si>
  <si>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</si>
  <si>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</si>
  <si>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</si>
  <si>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</si>
  <si>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</si>
  <si>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</si>
  <si>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</si>
  <si>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</si>
  <si>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</si>
  <si>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</si>
  <si>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</si>
  <si>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</si>
  <si>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</si>
  <si>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</si>
  <si>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</si>
  <si>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</si>
  <si>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</si>
  <si>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</si>
  <si>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</si>
  <si>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</si>
  <si>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</si>
  <si>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</si>
  <si>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</si>
  <si>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</si>
  <si>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</si>
  <si>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</si>
  <si>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</si>
  <si>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</si>
  <si>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</si>
  <si>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</si>
  <si>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</si>
  <si>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</si>
  <si>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</si>
  <si>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</si>
  <si>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</si>
  <si>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</si>
  <si>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</si>
  <si>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</si>
  <si>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</si>
  <si>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</si>
  <si>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</si>
  <si>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</si>
  <si>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</si>
  <si>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</si>
  <si>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</si>
  <si>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</si>
  <si>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</si>
  <si>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</si>
  <si>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</si>
  <si>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</si>
  <si>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</si>
  <si>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</si>
  <si>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</si>
  <si>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</si>
  <si>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</si>
  <si>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</si>
  <si>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</si>
  <si>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</si>
  <si>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</si>
  <si>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</si>
  <si>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</si>
  <si>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</si>
  <si>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</si>
  <si>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</si>
  <si>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</si>
  <si>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</si>
  <si>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</si>
  <si>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</si>
  <si>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</si>
  <si>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</si>
  <si>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</si>
  <si>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</si>
  <si>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</si>
  <si>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</si>
  <si>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</si>
  <si>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</si>
  <si>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</si>
  <si>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</si>
  <si>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</si>
  <si>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</si>
  <si>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</si>
  <si>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</si>
  <si>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</si>
  <si>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</si>
  <si>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</si>
  <si>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</si>
  <si>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</si>
  <si>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</si>
  <si>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</si>
  <si>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www.fiRecipes.com/ChickenBratwurstFresh</t>
  </si>
  <si>
    <r>
      <t>boneless, skin-</t>
    </r>
    <r>
      <rPr>
        <b/>
        <i/>
        <sz val="14"/>
        <color theme="0" tint="-0.34998626667073579"/>
        <rFont val="Calibri"/>
        <family val="2"/>
      </rPr>
      <t>on</t>
    </r>
  </si>
  <si>
    <r>
      <t xml:space="preserve">Mince the slightly frozen Chicken through a </t>
    </r>
    <r>
      <rPr>
        <b/>
        <sz val="14"/>
        <color rgb="FF3D3D3F"/>
        <rFont val="Calibri"/>
        <family val="2"/>
        <scheme val="minor"/>
      </rPr>
      <t>3 - 5 mm</t>
    </r>
    <r>
      <rPr>
        <sz val="14"/>
        <color rgb="FF3D3D3F"/>
        <rFont val="Calibri"/>
        <family val="2"/>
        <scheme val="minor"/>
      </rPr>
      <t xml:space="preserve"> plate.</t>
    </r>
  </si>
  <si>
    <t>Whole Chicken</t>
  </si>
  <si>
    <r>
      <t xml:space="preserve">Chicken Bratwurst </t>
    </r>
    <r>
      <rPr>
        <i/>
        <sz val="30"/>
        <color theme="0" tint="-0.499984740745262"/>
        <rFont val="Calibri"/>
        <family val="2"/>
        <scheme val="minor"/>
      </rPr>
      <t>Premium</t>
    </r>
    <r>
      <rPr>
        <sz val="30"/>
        <color theme="0" tint="-0.499984740745262"/>
        <rFont val="Calibri"/>
        <family val="2"/>
        <scheme val="minor"/>
      </rPr>
      <t xml:space="preserve"> </t>
    </r>
    <r>
      <rPr>
        <b/>
        <sz val="30"/>
        <color theme="0" tint="-0.499984740745262"/>
        <rFont val="Calibri"/>
        <family val="2"/>
        <scheme val="minor"/>
      </rPr>
      <t>- fresh</t>
    </r>
  </si>
  <si>
    <t>Colour Development</t>
  </si>
  <si>
    <t>Opional Flavour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</si>
</sst>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b/>
      <i/>
      <sz val="14"/>
      <color theme="0" tint="-0.34998626667073579"/>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13" fillId="0" borderId="0" xfId="0" applyFont="1" applyAlignment="1">
      <alignment horizontal="center" vertical="center"/>
    </xf>
    <xf numFmtId="0" fontId="35" fillId="10" borderId="0" xfId="0" applyFont="1" applyFill="1" applyAlignment="1">
      <alignment horizontal="center" vertical="center"/>
    </xf>
    <xf numFmtId="3" fontId="34" fillId="3" borderId="0" xfId="0" applyNumberFormat="1" applyFont="1" applyFill="1" applyAlignment="1">
      <alignment horizontal="left" vertical="center"/>
    </xf>
    <xf numFmtId="3" fontId="35" fillId="3"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86" fillId="0" borderId="0" xfId="4" applyFont="1" applyFill="1" applyBorder="1" applyAlignment="1" applyProtection="1">
      <alignment horizontal="left" vertical="center"/>
      <protection locked="0"/>
    </xf>
    <xf numFmtId="3" fontId="35" fillId="3" borderId="39" xfId="0" applyNumberFormat="1" applyFont="1" applyFill="1" applyBorder="1" applyAlignment="1">
      <alignment horizontal="left" vertical="center"/>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35" fillId="5" borderId="2" xfId="0" applyFont="1" applyFill="1" applyBorder="1" applyAlignment="1">
      <alignment horizontal="center"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2" fillId="0" borderId="0" xfId="0" applyNumberFormat="1" applyFont="1" applyAlignment="1">
      <alignment horizontal="left"/>
    </xf>
    <xf numFmtId="3" fontId="35" fillId="3" borderId="1" xfId="0" applyNumberFormat="1" applyFont="1" applyFill="1" applyBorder="1" applyAlignment="1">
      <alignment horizontal="left" vertical="center"/>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1625600</xdr:colOff>
      <xdr:row>0</xdr:row>
      <xdr:rowOff>0</xdr:rowOff>
    </xdr:from>
    <xdr:to>
      <xdr:col>14</xdr:col>
      <xdr:colOff>245816</xdr:colOff>
      <xdr:row>9</xdr:row>
      <xdr:rowOff>279420</xdr:rowOff>
    </xdr:to>
    <xdr:pic>
      <xdr:nvPicPr>
        <xdr:cNvPr id="5" name="Grafik 4">
          <a:extLst>
            <a:ext uri="{FF2B5EF4-FFF2-40B4-BE49-F238E27FC236}">
              <a16:creationId xmlns:a16="http://schemas.microsoft.com/office/drawing/2014/main" id="{5EBB2E0E-5727-4B43-B37B-A67DE713EC1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43" t="4793" r="25878"/>
        <a:stretch/>
      </xdr:blipFill>
      <xdr:spPr>
        <a:xfrm>
          <a:off x="7378700" y="0"/>
          <a:ext cx="2684216" cy="2679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8"/>
      <c r="K1" s="248"/>
      <c r="L1" s="248"/>
      <c r="M1" s="248"/>
      <c r="N1" s="248"/>
      <c r="O1" s="12"/>
      <c r="P1" s="12"/>
    </row>
    <row r="2" spans="2:24" ht="19" customHeight="1" x14ac:dyDescent="0.2">
      <c r="J2" s="248"/>
      <c r="K2" s="248"/>
      <c r="L2" s="248"/>
      <c r="M2" s="248"/>
      <c r="N2" s="248"/>
      <c r="O2" s="12"/>
      <c r="P2" s="12"/>
    </row>
    <row r="3" spans="2:24" ht="19" customHeight="1" x14ac:dyDescent="0.2">
      <c r="J3" s="248"/>
      <c r="K3" s="248"/>
      <c r="L3" s="248"/>
      <c r="M3" s="248"/>
      <c r="N3" s="248"/>
      <c r="O3" s="12"/>
      <c r="P3" s="12"/>
    </row>
    <row r="4" spans="2:24" ht="19" customHeight="1" x14ac:dyDescent="0.2">
      <c r="J4" s="248"/>
      <c r="K4" s="248"/>
      <c r="L4" s="248"/>
      <c r="M4" s="248"/>
      <c r="N4" s="248"/>
      <c r="O4" s="12"/>
      <c r="P4" s="12"/>
    </row>
    <row r="5" spans="2:24" ht="19" customHeight="1" x14ac:dyDescent="0.2">
      <c r="J5" s="248"/>
      <c r="K5" s="248"/>
      <c r="L5" s="248"/>
      <c r="M5" s="248"/>
      <c r="N5" s="248"/>
      <c r="O5" s="12"/>
      <c r="P5" s="12"/>
    </row>
    <row r="6" spans="2:24" ht="19" customHeight="1" x14ac:dyDescent="0.2">
      <c r="J6" s="248"/>
      <c r="K6" s="248"/>
      <c r="L6" s="248"/>
      <c r="M6" s="248"/>
      <c r="N6" s="248"/>
      <c r="O6" s="12"/>
      <c r="P6" s="12"/>
    </row>
    <row r="7" spans="2:24" ht="19" customHeight="1" x14ac:dyDescent="0.2">
      <c r="J7" s="248"/>
      <c r="K7" s="248"/>
      <c r="L7" s="248"/>
      <c r="M7" s="248"/>
      <c r="N7" s="248"/>
      <c r="O7" s="14"/>
      <c r="P7" s="14"/>
      <c r="R7" t="s">
        <v>178</v>
      </c>
    </row>
    <row r="8" spans="2:24" ht="39" customHeight="1" x14ac:dyDescent="0.45">
      <c r="B8" s="263" t="s">
        <v>3157</v>
      </c>
      <c r="C8" s="263"/>
      <c r="D8" s="263"/>
      <c r="E8" s="263"/>
      <c r="F8" s="263"/>
      <c r="G8" s="263"/>
      <c r="H8" s="263"/>
      <c r="I8" s="263"/>
      <c r="J8" s="263"/>
      <c r="K8" s="220"/>
      <c r="L8" s="223"/>
      <c r="M8" s="223"/>
      <c r="N8" s="224"/>
      <c r="O8" s="224"/>
      <c r="P8" s="264" t="s">
        <v>3101</v>
      </c>
      <c r="Q8" s="264"/>
      <c r="R8" s="264"/>
      <c r="S8" s="264"/>
    </row>
    <row r="9" spans="2:24" ht="20" customHeight="1" x14ac:dyDescent="0.45">
      <c r="B9" s="257" t="s">
        <v>3153</v>
      </c>
      <c r="C9" s="257"/>
      <c r="D9" s="257"/>
      <c r="E9" s="257"/>
      <c r="F9" s="257"/>
      <c r="G9" s="257"/>
      <c r="H9" s="257"/>
      <c r="I9" s="257"/>
      <c r="J9" s="220"/>
      <c r="K9" s="220"/>
      <c r="L9" s="221"/>
      <c r="M9" s="221"/>
      <c r="N9" s="222"/>
      <c r="O9" s="222"/>
      <c r="P9" s="264"/>
      <c r="Q9" s="264"/>
      <c r="R9" s="264"/>
      <c r="S9" s="264"/>
    </row>
    <row r="10" spans="2:24" s="1" customFormat="1" ht="25" customHeight="1" thickBot="1" x14ac:dyDescent="0.3">
      <c r="B10" s="261" t="s">
        <v>3108</v>
      </c>
      <c r="C10" s="261"/>
      <c r="D10" s="261"/>
      <c r="E10" s="261"/>
      <c r="F10" s="261"/>
      <c r="G10" s="261"/>
      <c r="H10" s="261"/>
      <c r="I10" s="261"/>
      <c r="J10" s="261"/>
      <c r="K10" s="261"/>
      <c r="L10" s="261"/>
      <c r="M10" s="261"/>
      <c r="N10" s="261"/>
      <c r="O10" s="261"/>
      <c r="P10" s="267" t="s">
        <v>3117</v>
      </c>
      <c r="Q10" s="268"/>
      <c r="R10" s="268"/>
      <c r="S10" s="268"/>
      <c r="T10" s="162"/>
      <c r="U10" s="162"/>
      <c r="V10" s="162"/>
    </row>
    <row r="11" spans="2:24" s="7" customFormat="1" ht="27" customHeight="1" x14ac:dyDescent="0.25">
      <c r="B11" s="256" t="s">
        <v>36</v>
      </c>
      <c r="C11" s="256"/>
      <c r="D11" s="256"/>
      <c r="E11" s="256"/>
      <c r="F11" s="256"/>
      <c r="G11" s="256"/>
      <c r="H11" s="256"/>
      <c r="I11" s="256"/>
      <c r="J11" s="256"/>
      <c r="K11" s="232"/>
      <c r="L11" s="106">
        <f>SUM(L12:L12)</f>
        <v>1</v>
      </c>
      <c r="M11" s="106"/>
      <c r="N11" s="96">
        <v>100</v>
      </c>
      <c r="O11" s="107" t="s">
        <v>0</v>
      </c>
      <c r="P11" s="272" t="s">
        <v>3129</v>
      </c>
      <c r="Q11" s="272"/>
      <c r="R11" s="272" t="s">
        <v>3023</v>
      </c>
      <c r="S11" s="272"/>
      <c r="T11" s="242"/>
      <c r="U11" s="162"/>
      <c r="V11" s="162"/>
      <c r="W11" s="1"/>
      <c r="X11" s="1"/>
    </row>
    <row r="12" spans="2:24" s="1" customFormat="1" ht="22" thickBot="1" x14ac:dyDescent="0.3">
      <c r="B12" s="259" t="s">
        <v>3156</v>
      </c>
      <c r="C12" s="259"/>
      <c r="D12" s="259"/>
      <c r="E12" s="259"/>
      <c r="F12" s="259"/>
      <c r="G12" s="259"/>
      <c r="H12" s="259"/>
      <c r="I12" s="259"/>
      <c r="J12" s="15" t="s">
        <v>3154</v>
      </c>
      <c r="K12" s="15"/>
      <c r="L12" s="16">
        <v>1</v>
      </c>
      <c r="M12" s="260">
        <f>IF(L12&lt;&gt;0,Meat*L12,"0,00")</f>
        <v>100</v>
      </c>
      <c r="N12" s="260"/>
      <c r="O12" s="17" t="str">
        <f>IF($M12="","","kg")</f>
        <v>kg</v>
      </c>
      <c r="P12" s="192">
        <v>2</v>
      </c>
      <c r="Q12" s="30" t="str">
        <f t="shared" ref="Q12" si="0">IF(P12&lt;&gt;"","EUR","")</f>
        <v>EUR</v>
      </c>
      <c r="R12" s="24">
        <f>IF(P12&lt;&gt;"",ROUND(P12*M12,2),"")</f>
        <v>200</v>
      </c>
      <c r="S12" s="25" t="str">
        <f>IF(Q12&lt;&gt;"","EUR","")</f>
        <v>EUR</v>
      </c>
      <c r="T12" s="162"/>
      <c r="U12" s="162"/>
      <c r="V12" s="162"/>
    </row>
    <row r="13" spans="2:24" s="1" customFormat="1" ht="21" customHeight="1" x14ac:dyDescent="0.25">
      <c r="B13" s="254" t="s">
        <v>52</v>
      </c>
      <c r="C13" s="254"/>
      <c r="D13" s="254"/>
      <c r="E13" s="254"/>
      <c r="F13" s="254"/>
      <c r="G13" s="254"/>
      <c r="H13" s="254"/>
      <c r="I13" s="254"/>
      <c r="J13" s="212"/>
      <c r="K13" s="212"/>
      <c r="L13" s="241">
        <v>0.15</v>
      </c>
      <c r="M13" s="266">
        <f>Meat*L13</f>
        <v>15</v>
      </c>
      <c r="N13" s="266">
        <f>Meat*L13</f>
        <v>15</v>
      </c>
      <c r="O13" s="91" t="str">
        <f>IF(M13&lt;&gt;"","kg","")</f>
        <v>kg</v>
      </c>
      <c r="P13" s="195">
        <v>0.01</v>
      </c>
      <c r="Q13" s="29" t="str">
        <f t="shared" ref="Q13" si="1">IF(P13&lt;&gt;"","EUR","")</f>
        <v>EUR</v>
      </c>
      <c r="R13" s="26">
        <f>IF(P13&lt;&gt;"",ROUND(P13*M13,2),"")</f>
        <v>0.15</v>
      </c>
      <c r="S13" s="28" t="str">
        <f t="shared" ref="S13" si="2">IF(Q13&lt;&gt;"","EUR","")</f>
        <v>EUR</v>
      </c>
      <c r="T13" s="162"/>
      <c r="U13" s="243"/>
      <c r="V13" s="162"/>
    </row>
    <row r="14" spans="2:24" s="7" customFormat="1" ht="25" customHeight="1" x14ac:dyDescent="0.25">
      <c r="B14" s="255" t="s">
        <v>85</v>
      </c>
      <c r="C14" s="255"/>
      <c r="D14" s="255"/>
      <c r="E14" s="255"/>
      <c r="F14" s="255"/>
      <c r="G14" s="255"/>
      <c r="H14" s="255"/>
      <c r="I14" s="255"/>
      <c r="J14" s="255"/>
      <c r="K14" s="22"/>
      <c r="L14" s="18">
        <f>MeatAndWater/Meat</f>
        <v>1.1499999999999999</v>
      </c>
      <c r="M14" s="18"/>
      <c r="N14" s="19">
        <f>SUM(Meat,Water)</f>
        <v>115</v>
      </c>
      <c r="O14" s="22" t="s">
        <v>0</v>
      </c>
      <c r="P14" s="194" t="str">
        <f>"ø "&amp;ROUND(R14/MeatAndWater,3)</f>
        <v>ø 1,74</v>
      </c>
      <c r="Q14" s="173" t="str">
        <f>IF(P14&lt;&gt;0,"EUR","")</f>
        <v>EUR</v>
      </c>
      <c r="R14" s="174">
        <f>SUM(R12:R13)</f>
        <v>200.15</v>
      </c>
      <c r="S14" s="173" t="str">
        <f>IF(R14&lt;&gt;0,"EUR","")</f>
        <v>EUR</v>
      </c>
      <c r="T14" s="244"/>
      <c r="U14" s="244"/>
      <c r="V14" s="162"/>
      <c r="W14" s="1"/>
      <c r="X14" s="1"/>
    </row>
    <row r="15" spans="2:24" s="27" customFormat="1" ht="26" customHeight="1" x14ac:dyDescent="0.25">
      <c r="B15" s="20" t="s">
        <v>34</v>
      </c>
      <c r="C15" s="20"/>
      <c r="D15" s="21" t="s">
        <v>44</v>
      </c>
      <c r="E15" s="253" t="s">
        <v>3109</v>
      </c>
      <c r="F15" s="253"/>
      <c r="G15" s="253"/>
      <c r="H15" s="253"/>
      <c r="I15" s="253"/>
      <c r="J15" s="253"/>
      <c r="K15" s="231"/>
      <c r="L15" s="252" t="s">
        <v>86</v>
      </c>
      <c r="M15" s="252"/>
      <c r="N15" s="252"/>
      <c r="O15" s="252"/>
      <c r="P15" s="249" t="s">
        <v>3128</v>
      </c>
      <c r="Q15" s="249"/>
      <c r="R15" s="249" t="s">
        <v>3023</v>
      </c>
      <c r="S15" s="249"/>
      <c r="T15" s="274" t="s">
        <v>3116</v>
      </c>
      <c r="U15" s="274"/>
      <c r="V15" s="213"/>
      <c r="W15" s="1"/>
    </row>
    <row r="16" spans="2:24" ht="21" customHeight="1" x14ac:dyDescent="0.25">
      <c r="B16" s="251">
        <v>55028</v>
      </c>
      <c r="C16" s="251"/>
      <c r="D16" s="97" t="str">
        <f>IF(ISNA(VLOOKUP(B16,AllData,2,0)),"",HYPERLINK(VLOOKUP(B16,AllData,7,0),"📌"))</f>
        <v>📌</v>
      </c>
      <c r="E16" s="250" t="str">
        <f t="shared" ref="E16:E22" si="3">IF(ISNA(VLOOKUP(B16,AllData,2,0)),"",VLOOKUP(B16,AllData,2,0))</f>
        <v>Bratwurst Extra</v>
      </c>
      <c r="F16" s="250"/>
      <c r="G16" s="250"/>
      <c r="H16" s="250"/>
      <c r="I16" s="250"/>
      <c r="J16" s="98"/>
      <c r="K16" s="98"/>
      <c r="L16" s="101">
        <v>5.0000000000000001E-3</v>
      </c>
      <c r="M16" s="101"/>
      <c r="N16" s="32">
        <f>IF(L16&lt;&gt;"",ROUND(L16*MeatAndWater,2),0)</f>
        <v>0.57999999999999996</v>
      </c>
      <c r="O16" s="99" t="str">
        <f t="shared" ref="O16" si="4">IF(N16&lt;&gt;"","kg","")</f>
        <v>kg</v>
      </c>
      <c r="P16" s="193">
        <f t="shared" ref="P16:P22" si="5">IF(ISNA(VLOOKUP(B16,AllData,2,0)),"",VLOOKUP(B16,AllData,4,0))</f>
        <v>9.9</v>
      </c>
      <c r="Q16" s="30" t="str">
        <f t="shared" ref="Q16:Q22" si="6">IF(P16&lt;&gt;"","EUR","")</f>
        <v>EUR</v>
      </c>
      <c r="R16" s="24">
        <f t="shared" ref="R16:R22" si="7">IF(P16&lt;&gt;"",ROUND(P16*N16,2),"")</f>
        <v>5.74</v>
      </c>
      <c r="S16" s="25" t="str">
        <f t="shared" ref="S16:S22" si="8">IF(Q16&lt;&gt;"","EUR","")</f>
        <v>EUR</v>
      </c>
      <c r="T16" s="213"/>
      <c r="U16" s="245">
        <f t="shared" ref="U16:U22" si="9">N16*VLOOKUP(B16,AllData,3)</f>
        <v>3.5379999999999995E-2</v>
      </c>
      <c r="V16" s="86" t="s">
        <v>0</v>
      </c>
      <c r="W16" s="1"/>
    </row>
    <row r="17" spans="2:23" ht="21" customHeight="1" x14ac:dyDescent="0.25">
      <c r="B17" s="251">
        <v>11015</v>
      </c>
      <c r="C17" s="251"/>
      <c r="D17" s="97" t="str">
        <f>IF(ISNA(VLOOKUP(B17,AllData,2,0)),"",HYPERLINK(VLOOKUP(B17,AllData,7,0),"📌"))</f>
        <v>📌</v>
      </c>
      <c r="E17" s="250" t="str">
        <f t="shared" ref="E17" si="10">IF(ISNA(VLOOKUP(B17,AllData,2,0)),"",VLOOKUP(B17,AllData,2,0))</f>
        <v>AGAGEL® 500</v>
      </c>
      <c r="F17" s="250"/>
      <c r="G17" s="250"/>
      <c r="H17" s="250"/>
      <c r="I17" s="250"/>
      <c r="J17" s="98"/>
      <c r="K17" s="98"/>
      <c r="L17" s="101">
        <v>1.4999999999999999E-2</v>
      </c>
      <c r="M17" s="101"/>
      <c r="N17" s="32">
        <f>IF(L17&lt;&gt;"",ROUND(L17*MeatAndWater,2),0)</f>
        <v>1.73</v>
      </c>
      <c r="O17" s="99" t="str">
        <f t="shared" ref="O17" si="11">IF(N17&lt;&gt;"","kg","")</f>
        <v>kg</v>
      </c>
      <c r="P17" s="193">
        <f t="shared" ref="P17" si="12">IF(ISNA(VLOOKUP(B17,AllData,2,0)),"",VLOOKUP(B17,AllData,4,0))</f>
        <v>6.8</v>
      </c>
      <c r="Q17" s="30" t="str">
        <f t="shared" ref="Q17" si="13">IF(P17&lt;&gt;"","EUR","")</f>
        <v>EUR</v>
      </c>
      <c r="R17" s="24">
        <f t="shared" ref="R17" si="14">IF(P17&lt;&gt;"",ROUND(P17*N17,2),"")</f>
        <v>11.76</v>
      </c>
      <c r="S17" s="25" t="str">
        <f t="shared" ref="S17" si="15">IF(Q17&lt;&gt;"","EUR","")</f>
        <v>EUR</v>
      </c>
      <c r="T17" s="213"/>
      <c r="U17" s="245">
        <f t="shared" ref="U17" si="16">N17*VLOOKUP(B17,AllData,3)</f>
        <v>0.13009600000000002</v>
      </c>
      <c r="V17" s="86" t="s">
        <v>0</v>
      </c>
      <c r="W17" s="1"/>
    </row>
    <row r="18" spans="2:23" ht="21" x14ac:dyDescent="0.25">
      <c r="B18" s="258"/>
      <c r="C18" s="258"/>
      <c r="D18" s="214" t="str">
        <f t="shared" ref="D18" si="17">IF(ISNA(VLOOKUP(B18,AllData,2,0)),"",HYPERLINK(VLOOKUP(B18,AllData,7,0),"📌"))</f>
        <v/>
      </c>
      <c r="E18" s="276" t="s">
        <v>9</v>
      </c>
      <c r="F18" s="276"/>
      <c r="G18" s="276"/>
      <c r="H18" s="276"/>
      <c r="I18" s="276"/>
      <c r="J18" s="215"/>
      <c r="K18" s="215"/>
      <c r="L18" s="225">
        <f>N18/MeatAndWater</f>
        <v>8.7826086956521738E-3</v>
      </c>
      <c r="M18" s="225"/>
      <c r="N18" s="216">
        <f>ROUND(SUM(MeatAndWater,N16:N17,N19:N22)*1%-SUM(U16:U22),2)</f>
        <v>1.01</v>
      </c>
      <c r="O18" s="226" t="str">
        <f>IF(N18&lt;&gt;"","kg","")</f>
        <v>kg</v>
      </c>
      <c r="P18" s="192">
        <v>7.0000000000000007E-2</v>
      </c>
      <c r="Q18" s="217" t="str">
        <f t="shared" ref="Q18:Q19" si="18">IF(P18&lt;&gt;"","EUR","")</f>
        <v>EUR</v>
      </c>
      <c r="R18" s="218">
        <f t="shared" ref="R18:R19" si="19">IF(P18&lt;&gt;"",ROUND(P18*N18,2),"")</f>
        <v>7.0000000000000007E-2</v>
      </c>
      <c r="S18" s="219" t="str">
        <f t="shared" ref="S18:S19" si="20">IF(Q18&lt;&gt;"","EUR","")</f>
        <v>EUR</v>
      </c>
      <c r="T18" s="213"/>
      <c r="U18" s="245"/>
    </row>
    <row r="19" spans="2:23" ht="21" x14ac:dyDescent="0.25">
      <c r="B19" s="251">
        <v>51014</v>
      </c>
      <c r="C19" s="251"/>
      <c r="D19" s="97" t="str">
        <f t="shared" ref="D19" si="21">IF(ISNA(VLOOKUP(B19,AllData,2,0)),"",HYPERLINK(VLOOKUP(B19,AllData,7,0),"📌"))</f>
        <v>📌</v>
      </c>
      <c r="E19" s="250" t="str">
        <f t="shared" ref="E19" si="22">IF(ISNA(VLOOKUP(B19,AllData,2,0)),"",VLOOKUP(B19,AllData,2,0))</f>
        <v>BouillonMaxx Chicken</v>
      </c>
      <c r="F19" s="250"/>
      <c r="G19" s="250"/>
      <c r="H19" s="250"/>
      <c r="I19" s="250"/>
      <c r="J19" s="98" t="s">
        <v>3159</v>
      </c>
      <c r="K19" s="237" t="s">
        <v>1490</v>
      </c>
      <c r="L19" s="187" t="s">
        <v>3114</v>
      </c>
      <c r="M19" s="238" t="s">
        <v>1492</v>
      </c>
      <c r="N19" s="32">
        <f>IF(L19="use",ROUND(0.5%*MeatAndWater,2),0)</f>
        <v>0</v>
      </c>
      <c r="O19" s="99" t="str">
        <f t="shared" ref="O19" si="23">IF(N19&lt;&gt;"","kg","")</f>
        <v>kg</v>
      </c>
      <c r="P19" s="193">
        <f t="shared" ref="P19" si="24">IF(ISNA(VLOOKUP(B19,AllData,2,0)),"",VLOOKUP(B19,AllData,4,0))</f>
        <v>6.9</v>
      </c>
      <c r="Q19" s="30" t="str">
        <f t="shared" si="18"/>
        <v>EUR</v>
      </c>
      <c r="R19" s="24">
        <f t="shared" si="19"/>
        <v>0</v>
      </c>
      <c r="S19" s="25" t="str">
        <f t="shared" si="20"/>
        <v>EUR</v>
      </c>
      <c r="T19" s="213"/>
      <c r="U19" s="245">
        <f t="shared" ref="U19" si="25">N19*VLOOKUP(B19,AllData,3)</f>
        <v>0</v>
      </c>
      <c r="V19" s="86" t="s">
        <v>0</v>
      </c>
    </row>
    <row r="20" spans="2:23" ht="21" x14ac:dyDescent="0.25">
      <c r="B20" s="251">
        <v>50003</v>
      </c>
      <c r="C20" s="251"/>
      <c r="D20" s="97" t="str">
        <f t="shared" ref="D20" si="26">IF(ISNA(VLOOKUP(B20,AllData,2,0)),"",HYPERLINK(VLOOKUP(B20,AllData,7,0),"📌"))</f>
        <v>📌</v>
      </c>
      <c r="E20" s="250" t="str">
        <f t="shared" ref="E20" si="27">IF(ISNA(VLOOKUP(B20,AllData,2,0)),"",VLOOKUP(B20,AllData,2,0))</f>
        <v>Meister Fixrot</v>
      </c>
      <c r="F20" s="250"/>
      <c r="G20" s="250"/>
      <c r="H20" s="250"/>
      <c r="I20" s="250"/>
      <c r="J20" s="98" t="s">
        <v>3158</v>
      </c>
      <c r="K20" s="237" t="s">
        <v>1490</v>
      </c>
      <c r="L20" s="187" t="s">
        <v>3114</v>
      </c>
      <c r="M20" s="238" t="s">
        <v>1492</v>
      </c>
      <c r="N20" s="32">
        <f>IF(L20="use",ROUND(0.2%*MeatAndWater,2),0)</f>
        <v>0</v>
      </c>
      <c r="O20" s="99" t="str">
        <f t="shared" ref="O20" si="28">IF(N20&lt;&gt;"","kg","")</f>
        <v>kg</v>
      </c>
      <c r="P20" s="193">
        <f t="shared" ref="P20" si="29">IF(ISNA(VLOOKUP(B20,AllData,2,0)),"",VLOOKUP(B20,AllData,4,0))</f>
        <v>8.9</v>
      </c>
      <c r="Q20" s="30" t="str">
        <f t="shared" ref="Q20" si="30">IF(P20&lt;&gt;"","EUR","")</f>
        <v>EUR</v>
      </c>
      <c r="R20" s="24">
        <f t="shared" ref="R20" si="31">IF(P20&lt;&gt;"",ROUND(P20*N20,2),"")</f>
        <v>0</v>
      </c>
      <c r="S20" s="25" t="str">
        <f t="shared" ref="S20" si="32">IF(Q20&lt;&gt;"","EUR","")</f>
        <v>EUR</v>
      </c>
      <c r="T20" s="213"/>
      <c r="U20" s="245">
        <f t="shared" ref="U20" si="33">N20*VLOOKUP(B20,AllData,3)</f>
        <v>0</v>
      </c>
      <c r="V20" s="86" t="s">
        <v>0</v>
      </c>
    </row>
    <row r="21" spans="2:23" ht="21" customHeight="1" x14ac:dyDescent="0.25">
      <c r="B21" s="251">
        <v>40044</v>
      </c>
      <c r="C21" s="251"/>
      <c r="D21" s="97" t="str">
        <f t="shared" ref="D21" si="34">IF(ISNA(VLOOKUP(B21,AllData,2,0)),"",HYPERLINK(VLOOKUP(B21,AllData,7,0),"📌"))</f>
        <v>📌</v>
      </c>
      <c r="E21" s="250" t="str">
        <f t="shared" ref="E21" si="35">IF(ISNA(VLOOKUP(B21,AllData,2,0)),"",VLOOKUP(B21,AllData,2,0))</f>
        <v>Parsley rubbed</v>
      </c>
      <c r="F21" s="250"/>
      <c r="G21" s="250"/>
      <c r="H21" s="250"/>
      <c r="I21" s="250"/>
      <c r="J21" s="98" t="s">
        <v>3149</v>
      </c>
      <c r="K21" s="237" t="s">
        <v>1490</v>
      </c>
      <c r="L21" s="187" t="s">
        <v>3118</v>
      </c>
      <c r="M21" s="238" t="s">
        <v>1492</v>
      </c>
      <c r="N21" s="32">
        <f>ROUND(IF(L21="zero",(MeatAndWater)*0%,IF(L21="low",(MeatAndWater)*0.1%,IF(L21="medium",(MeatAndWater)*0.2%,(MeatAndWater)*0.3%))),2)</f>
        <v>0</v>
      </c>
      <c r="O21" s="99" t="str">
        <f t="shared" ref="O21" si="36">IF(N21&lt;&gt;"","kg","")</f>
        <v>kg</v>
      </c>
      <c r="P21" s="193">
        <f t="shared" ref="P21" si="37">IF(ISNA(VLOOKUP(B21,AllData,2,0)),"",VLOOKUP(B21,AllData,4,0))</f>
        <v>7.7</v>
      </c>
      <c r="Q21" s="30" t="str">
        <f t="shared" si="6"/>
        <v>EUR</v>
      </c>
      <c r="R21" s="24">
        <f>IF(P21&lt;&gt;"",ROUND(P21*N21,3),"")</f>
        <v>0</v>
      </c>
      <c r="S21" s="25" t="str">
        <f t="shared" si="8"/>
        <v>EUR</v>
      </c>
      <c r="T21" s="213"/>
      <c r="U21" s="245">
        <f t="shared" ref="U21" si="38">N21*VLOOKUP(B21,AllData,3)</f>
        <v>0</v>
      </c>
      <c r="V21" s="86" t="s">
        <v>0</v>
      </c>
    </row>
    <row r="22" spans="2:23" ht="21" x14ac:dyDescent="0.25">
      <c r="B22" s="258">
        <v>11146</v>
      </c>
      <c r="C22" s="258"/>
      <c r="D22" s="214" t="str">
        <f t="shared" ref="D22" si="39">IF(ISNA(VLOOKUP(B22,AllData,2,0)),"",HYPERLINK(VLOOKUP(B22,AllData,7,0),"📌"))</f>
        <v>📌</v>
      </c>
      <c r="E22" s="276" t="str">
        <f t="shared" si="3"/>
        <v>RoMaxx MB liquid</v>
      </c>
      <c r="F22" s="276"/>
      <c r="G22" s="276"/>
      <c r="H22" s="276"/>
      <c r="I22" s="276"/>
      <c r="J22" s="234" t="s">
        <v>3145</v>
      </c>
      <c r="K22" s="239" t="s">
        <v>1490</v>
      </c>
      <c r="L22" s="235" t="s">
        <v>3114</v>
      </c>
      <c r="M22" s="240" t="s">
        <v>1492</v>
      </c>
      <c r="N22" s="236">
        <f>IF(L22="use",ROUND(0.2%*MeatAndWater,2),0)</f>
        <v>0</v>
      </c>
      <c r="O22" s="99" t="str">
        <f>IF(N22&lt;&gt;"","kg","")</f>
        <v>kg</v>
      </c>
      <c r="P22" s="193">
        <f t="shared" si="5"/>
        <v>9.9</v>
      </c>
      <c r="Q22" s="217" t="str">
        <f t="shared" si="6"/>
        <v>EUR</v>
      </c>
      <c r="R22" s="24">
        <f t="shared" si="7"/>
        <v>0</v>
      </c>
      <c r="S22" s="25" t="str">
        <f t="shared" si="8"/>
        <v>EUR</v>
      </c>
      <c r="T22" s="213"/>
      <c r="U22" s="245">
        <f t="shared" si="9"/>
        <v>0</v>
      </c>
      <c r="V22" s="86" t="s">
        <v>0</v>
      </c>
    </row>
    <row r="23" spans="2:23" ht="22" thickBot="1" x14ac:dyDescent="0.3">
      <c r="B23" s="251" t="s">
        <v>35</v>
      </c>
      <c r="C23" s="251"/>
      <c r="D23" s="251"/>
      <c r="E23" s="251"/>
      <c r="F23" s="251"/>
      <c r="G23" s="251"/>
      <c r="H23" s="251"/>
      <c r="I23" s="251"/>
      <c r="J23" s="251"/>
      <c r="K23" s="230"/>
      <c r="L23" s="102">
        <f>SUM(ingredientsWeight)/MeatAndWater</f>
        <v>2.8869565217391306E-2</v>
      </c>
      <c r="M23" s="102"/>
      <c r="N23" s="32">
        <f>SUM(ingredientsWeight)</f>
        <v>3.3200000000000003</v>
      </c>
      <c r="O23" s="227" t="s">
        <v>0</v>
      </c>
      <c r="P23" s="228" t="str">
        <f>"ø "&amp;ROUND(R23/N23,3)</f>
        <v>ø 5,292</v>
      </c>
      <c r="Q23" s="103" t="str">
        <f>Q16</f>
        <v>EUR</v>
      </c>
      <c r="R23" s="104">
        <f>SUM(R16:R22)</f>
        <v>17.57</v>
      </c>
      <c r="S23" s="105" t="str">
        <f>S16</f>
        <v>EUR</v>
      </c>
      <c r="T23" s="245" t="s">
        <v>3112</v>
      </c>
      <c r="U23" s="245">
        <f>SUM(U16:U22,Salt)</f>
        <v>1.175476</v>
      </c>
      <c r="V23" s="86" t="s">
        <v>0</v>
      </c>
    </row>
    <row r="24" spans="2:23" ht="35" customHeight="1" thickBot="1" x14ac:dyDescent="0.3">
      <c r="B24" s="278" t="s">
        <v>3029</v>
      </c>
      <c r="C24" s="278"/>
      <c r="D24" s="278"/>
      <c r="E24" s="278"/>
      <c r="F24" s="278"/>
      <c r="G24" s="278"/>
      <c r="H24" s="278"/>
      <c r="I24" s="278"/>
      <c r="J24" s="278"/>
      <c r="K24" s="233"/>
      <c r="L24" s="275">
        <f>ROUND(MeatAndWater+N23,2)</f>
        <v>118.32</v>
      </c>
      <c r="M24" s="275"/>
      <c r="N24" s="275"/>
      <c r="O24" s="172" t="s">
        <v>0</v>
      </c>
      <c r="P24" s="206">
        <f>R24/L24</f>
        <v>1.8400946585530764</v>
      </c>
      <c r="Q24" s="183" t="str">
        <f>"€ / kg"</f>
        <v>€ / kg</v>
      </c>
      <c r="R24" s="184">
        <f>SUM(R14,R23)</f>
        <v>217.72</v>
      </c>
      <c r="S24" s="185" t="str">
        <f>S16</f>
        <v>EUR</v>
      </c>
      <c r="T24" s="245" t="s">
        <v>3115</v>
      </c>
      <c r="U24" s="245">
        <f>U23/TotalWeight</f>
        <v>9.9347194050033814E-3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77" t="s">
        <v>3110</v>
      </c>
      <c r="F26" s="277"/>
      <c r="G26" s="277"/>
      <c r="H26" s="277"/>
      <c r="I26" s="277"/>
      <c r="J26" s="277"/>
      <c r="K26" s="229"/>
      <c r="L26" s="186"/>
      <c r="M26" s="186"/>
      <c r="N26" s="186"/>
      <c r="O26" s="186"/>
      <c r="P26" s="273" t="s">
        <v>3127</v>
      </c>
      <c r="Q26" s="273"/>
      <c r="R26" s="273"/>
      <c r="S26" s="273"/>
      <c r="T26" s="210"/>
      <c r="U26" s="162"/>
      <c r="V26" s="162"/>
      <c r="W26" s="1"/>
    </row>
    <row r="27" spans="2:23" ht="21" customHeight="1" x14ac:dyDescent="0.2">
      <c r="B27" s="251">
        <v>64060</v>
      </c>
      <c r="C27" s="251"/>
      <c r="D27" s="97" t="str">
        <f t="shared" ref="D27" si="40">IF(ISNA(VLOOKUP(B27,AllData,2,0)),"",HYPERLINK(VLOOKUP(B27,AllData,7,0),"📌"))</f>
        <v>📌</v>
      </c>
      <c r="E27" s="269" t="str">
        <f t="shared" ref="E27" si="41">IF(ISNA(VLOOKUP(B27,AllData,2,0)),"",VLOOKUP(B27,AllData,2,0))</f>
        <v>Collagen Casings [edible]</v>
      </c>
      <c r="F27" s="269"/>
      <c r="G27" s="269"/>
      <c r="H27" s="269"/>
      <c r="I27" s="269"/>
      <c r="J27" s="270" t="s">
        <v>3024</v>
      </c>
      <c r="K27" s="270"/>
      <c r="L27" s="270"/>
      <c r="M27" s="270"/>
      <c r="N27" s="270" t="str">
        <f>IF(L27&lt;&gt;"",ROUND(L27*MeatAndWater,2),"")</f>
        <v/>
      </c>
      <c r="O27" s="270" t="str">
        <f>IF(N27&lt;&gt;"","kg","")</f>
        <v/>
      </c>
      <c r="P27" s="262" t="s">
        <v>3111</v>
      </c>
      <c r="Q27" s="262"/>
      <c r="R27" s="262"/>
      <c r="S27" s="262"/>
      <c r="T27" s="210"/>
    </row>
    <row r="28" spans="2:23" ht="21" customHeight="1" x14ac:dyDescent="0.2">
      <c r="B28" s="289">
        <v>88081</v>
      </c>
      <c r="C28" s="289"/>
      <c r="D28" s="199" t="str">
        <f t="shared" ref="D28" si="42">IF(ISNA(VLOOKUP(B28,AllData,2,0)),"",HYPERLINK(VLOOKUP(B28,AllData,7,0),"📌"))</f>
        <v>📌</v>
      </c>
      <c r="E28" s="271" t="str">
        <f t="shared" ref="E28" si="43">IF(ISNA(VLOOKUP(B28,AllData,2,0)),"",VLOOKUP(B28,AllData,2,0))</f>
        <v>Meat Mincer TGR-103 COOL by Delitech</v>
      </c>
      <c r="F28" s="271"/>
      <c r="G28" s="271"/>
      <c r="H28" s="271"/>
      <c r="I28" s="271"/>
      <c r="J28" s="265" t="s">
        <v>3125</v>
      </c>
      <c r="K28" s="265"/>
      <c r="L28" s="265"/>
      <c r="M28" s="265"/>
      <c r="N28" s="265"/>
      <c r="O28" s="265"/>
      <c r="P28" s="262"/>
      <c r="Q28" s="262"/>
      <c r="R28" s="262"/>
      <c r="S28" s="262"/>
      <c r="T28" s="210"/>
      <c r="U28" s="210"/>
    </row>
    <row r="29" spans="2:23" ht="21" customHeight="1" x14ac:dyDescent="0.2">
      <c r="B29" s="251">
        <v>89022</v>
      </c>
      <c r="C29" s="251"/>
      <c r="D29" s="198" t="str">
        <f t="shared" ref="D29" si="44">IF(ISNA(VLOOKUP(B29,AllData,2,0)),"",HYPERLINK(VLOOKUP(B29,AllData,7,0),"📌"))</f>
        <v>📌</v>
      </c>
      <c r="E29" s="269" t="str">
        <f t="shared" ref="E29" si="45">IF(ISNA(VLOOKUP(B29,AllData,2,0)),"",VLOOKUP(B29,AllData,2,0))</f>
        <v>Charging Trolley 300 litres</v>
      </c>
      <c r="F29" s="269"/>
      <c r="G29" s="269"/>
      <c r="H29" s="269"/>
      <c r="I29" s="269"/>
      <c r="J29" s="284" t="s">
        <v>3126</v>
      </c>
      <c r="K29" s="284"/>
      <c r="L29" s="284"/>
      <c r="M29" s="284"/>
      <c r="N29" s="247"/>
      <c r="O29" s="247"/>
      <c r="P29" s="262"/>
      <c r="Q29" s="262"/>
      <c r="R29" s="262"/>
      <c r="S29" s="262"/>
      <c r="T29" s="210"/>
      <c r="U29" s="210"/>
    </row>
    <row r="30" spans="2:23" ht="21" customHeight="1" x14ac:dyDescent="0.2">
      <c r="B30" s="251">
        <v>81070</v>
      </c>
      <c r="C30" s="251"/>
      <c r="D30" s="198" t="str">
        <f t="shared" ref="D30" si="46">IF(ISNA(VLOOKUP(B30,AllData,2,0)),"",HYPERLINK(VLOOKUP(B30,AllData,7,0),"📌"))</f>
        <v>📌</v>
      </c>
      <c r="E30" s="269" t="str">
        <f t="shared" ref="E30" si="47">IF(ISNA(VLOOKUP(B30,AllData,2,0)),"",VLOOKUP(B30,AllData,2,0))</f>
        <v>Grillsausage Slicer</v>
      </c>
      <c r="F30" s="269"/>
      <c r="G30" s="269"/>
      <c r="H30" s="269"/>
      <c r="I30" s="269"/>
      <c r="J30" s="284" t="s">
        <v>3152</v>
      </c>
      <c r="K30" s="284"/>
      <c r="L30" s="284"/>
      <c r="M30" s="284"/>
      <c r="N30" s="247"/>
      <c r="O30" s="247"/>
      <c r="P30" s="262"/>
      <c r="Q30" s="262"/>
      <c r="R30" s="262"/>
      <c r="S30" s="262"/>
      <c r="T30" s="210"/>
      <c r="U30" s="210"/>
    </row>
    <row r="31" spans="2:23" ht="21" customHeight="1" x14ac:dyDescent="0.2">
      <c r="B31" s="251">
        <v>89053</v>
      </c>
      <c r="C31" s="251"/>
      <c r="D31" s="198" t="str">
        <f t="shared" ref="D31" si="48">IF(ISNA(VLOOKUP(B31,AllData,2,0)),"",HYPERLINK(VLOOKUP(B31,AllData,7,0),"📌"))</f>
        <v>📌</v>
      </c>
      <c r="E31" s="285" t="str">
        <f t="shared" ref="E31" si="49">IF(ISNA(VLOOKUP(B31,AllData,2,0)),"",VLOOKUP(B31,AllData,2,0))</f>
        <v>Vacuum Packaging Machine J 42 XXL by Delitech</v>
      </c>
      <c r="F31" s="285"/>
      <c r="G31" s="285"/>
      <c r="H31" s="285"/>
      <c r="I31" s="285"/>
      <c r="J31" s="286" t="s">
        <v>3150</v>
      </c>
      <c r="K31" s="286"/>
      <c r="L31" s="286"/>
      <c r="M31" s="286"/>
      <c r="N31" s="247"/>
      <c r="O31" s="247"/>
      <c r="P31" s="262"/>
      <c r="Q31" s="262"/>
      <c r="R31" s="262"/>
      <c r="S31" s="262"/>
      <c r="T31" s="210"/>
      <c r="U31" s="210"/>
    </row>
    <row r="32" spans="2:23" ht="21" x14ac:dyDescent="0.2">
      <c r="B32" s="230"/>
      <c r="C32" s="230"/>
      <c r="D32" s="198"/>
      <c r="E32" s="285"/>
      <c r="F32" s="285"/>
      <c r="G32" s="285"/>
      <c r="H32" s="285"/>
      <c r="I32" s="285"/>
      <c r="J32" s="286"/>
      <c r="K32" s="286"/>
      <c r="L32" s="286"/>
      <c r="M32" s="286"/>
      <c r="N32" s="247"/>
      <c r="O32" s="247"/>
      <c r="P32" s="262"/>
      <c r="Q32" s="262"/>
      <c r="R32" s="262"/>
      <c r="S32" s="262"/>
      <c r="T32" s="210"/>
    </row>
    <row r="33" spans="2:22" ht="21" customHeight="1" x14ac:dyDescent="0.2">
      <c r="B33" s="111"/>
      <c r="C33" s="111"/>
      <c r="D33" s="108" t="s">
        <v>60</v>
      </c>
      <c r="E33" s="287" t="s">
        <v>3027</v>
      </c>
      <c r="F33" s="287"/>
      <c r="G33" s="287"/>
      <c r="H33" s="287"/>
      <c r="I33" s="287"/>
      <c r="J33" s="287"/>
      <c r="K33" s="287"/>
      <c r="L33" s="287"/>
      <c r="M33" s="287"/>
      <c r="N33" s="287"/>
      <c r="O33" s="287"/>
      <c r="P33" s="262"/>
      <c r="Q33" s="262"/>
      <c r="R33" s="262"/>
      <c r="S33" s="262"/>
      <c r="T33" s="210"/>
    </row>
    <row r="34" spans="2:22" ht="10" customHeight="1" thickBot="1" x14ac:dyDescent="0.3">
      <c r="B34" s="288"/>
      <c r="C34" s="288"/>
      <c r="D34" s="288"/>
      <c r="E34" s="288"/>
      <c r="F34" s="288"/>
      <c r="G34" s="288"/>
      <c r="H34" s="288"/>
      <c r="I34" s="288"/>
      <c r="J34" s="288"/>
      <c r="K34" s="288"/>
      <c r="L34" s="288"/>
      <c r="M34" s="288"/>
      <c r="N34" s="288"/>
      <c r="O34" s="288"/>
      <c r="P34" s="262"/>
      <c r="Q34" s="262"/>
      <c r="R34" s="262"/>
      <c r="S34" s="262"/>
      <c r="T34" s="210"/>
      <c r="U34" s="211"/>
      <c r="V34" s="211"/>
    </row>
    <row r="35" spans="2:22" ht="25" thickTop="1" x14ac:dyDescent="0.2">
      <c r="B35" s="279" t="s">
        <v>3008</v>
      </c>
      <c r="C35" s="280"/>
      <c r="D35" s="280"/>
      <c r="E35" s="280"/>
      <c r="F35" s="280"/>
      <c r="G35" s="280"/>
      <c r="H35" s="280"/>
      <c r="I35" s="280"/>
      <c r="J35" s="280"/>
      <c r="K35" s="280"/>
      <c r="L35" s="280"/>
      <c r="M35" s="280"/>
      <c r="N35" s="280"/>
      <c r="O35" s="281"/>
      <c r="P35" s="262"/>
      <c r="Q35" s="262"/>
      <c r="R35" s="262"/>
      <c r="S35" s="262"/>
      <c r="T35" s="210"/>
    </row>
    <row r="36" spans="2:22" ht="20" thickBot="1" x14ac:dyDescent="0.25">
      <c r="B36" s="100" t="s">
        <v>3007</v>
      </c>
      <c r="C36" s="282" t="s">
        <v>3155</v>
      </c>
      <c r="D36" s="282"/>
      <c r="E36" s="282"/>
      <c r="F36" s="282"/>
      <c r="G36" s="282"/>
      <c r="H36" s="282"/>
      <c r="I36" s="282"/>
      <c r="J36" s="282"/>
      <c r="K36" s="282"/>
      <c r="L36" s="282"/>
      <c r="M36" s="282"/>
      <c r="N36" s="282"/>
      <c r="O36" s="283"/>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90" t="s">
        <v>3132</v>
      </c>
      <c r="C38" s="291"/>
      <c r="D38" s="291"/>
      <c r="E38" s="291"/>
      <c r="F38" s="291"/>
      <c r="G38" s="291"/>
      <c r="H38" s="291"/>
      <c r="I38" s="207"/>
      <c r="J38" s="176"/>
      <c r="K38" s="176"/>
      <c r="L38" s="177"/>
      <c r="M38" s="177"/>
      <c r="N38" s="177"/>
      <c r="O38" s="178"/>
      <c r="P38" s="191"/>
      <c r="Q38" s="191"/>
      <c r="R38" s="191"/>
      <c r="S38" s="191"/>
    </row>
    <row r="39" spans="2:22" ht="19" customHeight="1" x14ac:dyDescent="0.2">
      <c r="B39" s="175" t="s">
        <v>3007</v>
      </c>
      <c r="C39" s="293" t="s">
        <v>3133</v>
      </c>
      <c r="D39" s="293"/>
      <c r="E39" s="293"/>
      <c r="F39" s="293"/>
      <c r="G39" s="293"/>
      <c r="H39" s="293"/>
      <c r="I39" s="293"/>
      <c r="J39" s="293"/>
      <c r="K39" s="293"/>
      <c r="L39" s="293"/>
      <c r="M39" s="293"/>
      <c r="N39" s="293"/>
      <c r="O39" s="294"/>
      <c r="P39" s="191"/>
      <c r="Q39" s="191"/>
      <c r="R39" s="191"/>
      <c r="S39" s="191"/>
    </row>
    <row r="40" spans="2:22" ht="19" customHeight="1" x14ac:dyDescent="0.2">
      <c r="B40" s="175" t="s">
        <v>3007</v>
      </c>
      <c r="C40" s="293" t="s">
        <v>3134</v>
      </c>
      <c r="D40" s="293"/>
      <c r="E40" s="293"/>
      <c r="F40" s="293"/>
      <c r="G40" s="293"/>
      <c r="H40" s="293"/>
      <c r="I40" s="293"/>
      <c r="J40" s="293"/>
      <c r="K40" s="293"/>
      <c r="L40" s="293"/>
      <c r="M40" s="293"/>
      <c r="N40" s="293"/>
      <c r="O40" s="294"/>
      <c r="P40" s="191"/>
      <c r="Q40" s="191"/>
      <c r="R40" s="191"/>
      <c r="S40" s="191"/>
    </row>
    <row r="41" spans="2:22" ht="19" customHeight="1" x14ac:dyDescent="0.2">
      <c r="B41" s="175" t="s">
        <v>3007</v>
      </c>
      <c r="C41" s="293" t="s">
        <v>3135</v>
      </c>
      <c r="D41" s="293"/>
      <c r="E41" s="293"/>
      <c r="F41" s="293"/>
      <c r="G41" s="293"/>
      <c r="H41" s="293"/>
      <c r="I41" s="293"/>
      <c r="J41" s="293"/>
      <c r="K41" s="293"/>
      <c r="L41" s="293"/>
      <c r="M41" s="293"/>
      <c r="N41" s="293"/>
      <c r="O41" s="294"/>
      <c r="P41" s="191"/>
      <c r="Q41" s="191"/>
      <c r="R41" s="191"/>
      <c r="S41" s="191"/>
    </row>
    <row r="42" spans="2:22" ht="19" customHeight="1" x14ac:dyDescent="0.2">
      <c r="B42" s="175" t="s">
        <v>3007</v>
      </c>
      <c r="C42" s="293" t="s">
        <v>3151</v>
      </c>
      <c r="D42" s="293"/>
      <c r="E42" s="293"/>
      <c r="F42" s="293"/>
      <c r="G42" s="293"/>
      <c r="H42" s="293"/>
      <c r="I42" s="293"/>
      <c r="J42" s="293"/>
      <c r="K42" s="293"/>
      <c r="L42" s="293"/>
      <c r="M42" s="293"/>
      <c r="N42" s="293"/>
      <c r="O42" s="294"/>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97" t="s">
        <v>3136</v>
      </c>
      <c r="C44" s="298"/>
      <c r="D44" s="298"/>
      <c r="E44" s="298"/>
      <c r="F44" s="298"/>
      <c r="G44" s="298"/>
      <c r="H44" s="298"/>
      <c r="I44" s="298"/>
      <c r="J44" s="298"/>
      <c r="K44" s="298"/>
      <c r="L44" s="298"/>
      <c r="M44" s="298"/>
      <c r="N44" s="298"/>
      <c r="O44" s="299"/>
      <c r="P44" s="191"/>
      <c r="Q44" s="191"/>
      <c r="R44" s="191"/>
      <c r="S44" s="191"/>
    </row>
    <row r="45" spans="2:22" ht="10" customHeight="1" thickTop="1" thickBot="1" x14ac:dyDescent="0.3">
      <c r="B45" s="288"/>
      <c r="C45" s="288"/>
      <c r="D45" s="288"/>
      <c r="E45" s="288"/>
      <c r="F45" s="288"/>
      <c r="G45" s="288"/>
      <c r="H45" s="288"/>
      <c r="I45" s="288"/>
      <c r="J45" s="288"/>
      <c r="K45" s="288"/>
      <c r="L45" s="288"/>
      <c r="M45" s="288"/>
      <c r="N45" s="288"/>
      <c r="O45" s="288"/>
      <c r="P45" s="191"/>
      <c r="Q45" s="191"/>
      <c r="R45" s="191"/>
      <c r="S45" s="191"/>
    </row>
    <row r="46" spans="2:22" ht="25" thickTop="1" x14ac:dyDescent="0.2">
      <c r="B46" s="279" t="s">
        <v>3097</v>
      </c>
      <c r="C46" s="280"/>
      <c r="D46" s="280"/>
      <c r="E46" s="280"/>
      <c r="F46" s="280"/>
      <c r="G46" s="280"/>
      <c r="H46" s="280"/>
      <c r="I46" s="280"/>
      <c r="J46" s="280"/>
      <c r="K46" s="280"/>
      <c r="L46" s="280"/>
      <c r="M46" s="280"/>
      <c r="N46" s="280"/>
      <c r="O46" s="281"/>
      <c r="P46" s="191"/>
      <c r="Q46" s="191"/>
      <c r="R46" s="191"/>
      <c r="S46" s="191"/>
    </row>
    <row r="47" spans="2:22" x14ac:dyDescent="0.2">
      <c r="B47" s="179" t="s">
        <v>3007</v>
      </c>
      <c r="C47" s="300" t="s">
        <v>3137</v>
      </c>
      <c r="D47" s="300"/>
      <c r="E47" s="300"/>
      <c r="F47" s="300"/>
      <c r="G47" s="300"/>
      <c r="H47" s="300"/>
      <c r="I47" s="300"/>
      <c r="J47" s="300"/>
      <c r="K47" s="300"/>
      <c r="L47" s="300"/>
      <c r="M47" s="300"/>
      <c r="N47" s="300"/>
      <c r="O47" s="301"/>
      <c r="P47" s="191"/>
      <c r="Q47" s="191"/>
      <c r="R47" s="191"/>
      <c r="S47" s="191"/>
    </row>
    <row r="48" spans="2:22" ht="20" thickBot="1" x14ac:dyDescent="0.25">
      <c r="B48" s="180" t="s">
        <v>3007</v>
      </c>
      <c r="C48" s="282" t="s">
        <v>3130</v>
      </c>
      <c r="D48" s="282"/>
      <c r="E48" s="282"/>
      <c r="F48" s="282"/>
      <c r="G48" s="282"/>
      <c r="H48" s="282"/>
      <c r="I48" s="282"/>
      <c r="J48" s="282"/>
      <c r="K48" s="282"/>
      <c r="L48" s="282"/>
      <c r="M48" s="282"/>
      <c r="N48" s="282"/>
      <c r="O48" s="283"/>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90" t="s">
        <v>3138</v>
      </c>
      <c r="C50" s="291"/>
      <c r="D50" s="291"/>
      <c r="E50" s="291"/>
      <c r="F50" s="291"/>
      <c r="G50" s="291"/>
      <c r="H50" s="291"/>
      <c r="I50" s="291"/>
      <c r="J50" s="291"/>
      <c r="K50" s="291"/>
      <c r="L50" s="291"/>
      <c r="M50" s="291"/>
      <c r="N50" s="291"/>
      <c r="O50" s="292"/>
      <c r="P50" s="191"/>
      <c r="Q50" s="191"/>
      <c r="R50" s="191"/>
      <c r="S50" s="191"/>
    </row>
    <row r="51" spans="2:19" ht="19" customHeight="1" x14ac:dyDescent="0.2">
      <c r="B51" s="175" t="s">
        <v>3007</v>
      </c>
      <c r="C51" s="293" t="s">
        <v>3148</v>
      </c>
      <c r="D51" s="293"/>
      <c r="E51" s="293"/>
      <c r="F51" s="293"/>
      <c r="G51" s="293"/>
      <c r="H51" s="293"/>
      <c r="I51" s="293"/>
      <c r="J51" s="293"/>
      <c r="K51" s="293"/>
      <c r="L51" s="293"/>
      <c r="M51" s="293"/>
      <c r="N51" s="293"/>
      <c r="O51" s="294"/>
      <c r="P51" s="191"/>
      <c r="Q51" s="191"/>
      <c r="R51" s="191"/>
      <c r="S51" s="191"/>
    </row>
    <row r="52" spans="2:19" ht="20" thickBot="1" x14ac:dyDescent="0.25">
      <c r="B52" s="182" t="s">
        <v>3007</v>
      </c>
      <c r="C52" s="295" t="s">
        <v>3139</v>
      </c>
      <c r="D52" s="295"/>
      <c r="E52" s="295"/>
      <c r="F52" s="295"/>
      <c r="G52" s="295"/>
      <c r="H52" s="295"/>
      <c r="I52" s="295"/>
      <c r="J52" s="295"/>
      <c r="K52" s="295"/>
      <c r="L52" s="295"/>
      <c r="M52" s="295"/>
      <c r="N52" s="295"/>
      <c r="O52" s="296"/>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formatColumns="0" formatRows="0" selectLockedCells="1"/>
  <mergeCells count="71">
    <mergeCell ref="C48:O48"/>
    <mergeCell ref="B50:O50"/>
    <mergeCell ref="C51:O51"/>
    <mergeCell ref="C52:O52"/>
    <mergeCell ref="B38:H38"/>
    <mergeCell ref="C39:O39"/>
    <mergeCell ref="C40:O40"/>
    <mergeCell ref="C41:O41"/>
    <mergeCell ref="C42:O42"/>
    <mergeCell ref="B44:O44"/>
    <mergeCell ref="B45:O45"/>
    <mergeCell ref="B46:O46"/>
    <mergeCell ref="C47:O47"/>
    <mergeCell ref="B27:C27"/>
    <mergeCell ref="E29:I29"/>
    <mergeCell ref="E33:O33"/>
    <mergeCell ref="B34:O34"/>
    <mergeCell ref="B30:C30"/>
    <mergeCell ref="E30:I30"/>
    <mergeCell ref="B28:C28"/>
    <mergeCell ref="B35:O35"/>
    <mergeCell ref="C36:O36"/>
    <mergeCell ref="J29:M29"/>
    <mergeCell ref="E31:I32"/>
    <mergeCell ref="J31:M32"/>
    <mergeCell ref="J30:M30"/>
    <mergeCell ref="P26:S26"/>
    <mergeCell ref="T15:U15"/>
    <mergeCell ref="B23:J23"/>
    <mergeCell ref="L24:N24"/>
    <mergeCell ref="R15:S15"/>
    <mergeCell ref="E22:I22"/>
    <mergeCell ref="B22:C22"/>
    <mergeCell ref="E26:J26"/>
    <mergeCell ref="B24:J24"/>
    <mergeCell ref="E18:I18"/>
    <mergeCell ref="E20:I20"/>
    <mergeCell ref="B17:C17"/>
    <mergeCell ref="E17:I17"/>
    <mergeCell ref="P27:S35"/>
    <mergeCell ref="B8:J8"/>
    <mergeCell ref="P8:S9"/>
    <mergeCell ref="B19:C19"/>
    <mergeCell ref="B21:C21"/>
    <mergeCell ref="E16:I16"/>
    <mergeCell ref="J28:O28"/>
    <mergeCell ref="B29:C29"/>
    <mergeCell ref="B31:C31"/>
    <mergeCell ref="M13:N13"/>
    <mergeCell ref="P10:S10"/>
    <mergeCell ref="E27:I27"/>
    <mergeCell ref="J27:O27"/>
    <mergeCell ref="E28:I28"/>
    <mergeCell ref="R11:S11"/>
    <mergeCell ref="P11:Q11"/>
    <mergeCell ref="J1:N7"/>
    <mergeCell ref="P15:Q15"/>
    <mergeCell ref="E21:I21"/>
    <mergeCell ref="B16:C16"/>
    <mergeCell ref="L15:O15"/>
    <mergeCell ref="E15:J15"/>
    <mergeCell ref="B13:I13"/>
    <mergeCell ref="E19:I19"/>
    <mergeCell ref="B14:J14"/>
    <mergeCell ref="B11:J11"/>
    <mergeCell ref="B9:I9"/>
    <mergeCell ref="B18:C18"/>
    <mergeCell ref="B12:I12"/>
    <mergeCell ref="M12:N12"/>
    <mergeCell ref="B10:O10"/>
    <mergeCell ref="B20:C20"/>
  </mergeCells>
  <phoneticPr fontId="6" type="noConversion"/>
  <conditionalFormatting sqref="U22 U16 U18:U19">
    <cfRule type="cellIs" dxfId="133" priority="60" operator="equal">
      <formula>0</formula>
    </cfRule>
  </conditionalFormatting>
  <conditionalFormatting sqref="U21">
    <cfRule type="cellIs" dxfId="132" priority="58" operator="equal">
      <formula>0</formula>
    </cfRule>
  </conditionalFormatting>
  <conditionalFormatting sqref="L18:M18">
    <cfRule type="cellIs" dxfId="131" priority="57" operator="lessThan">
      <formula>0</formula>
    </cfRule>
  </conditionalFormatting>
  <conditionalFormatting sqref="N16">
    <cfRule type="cellIs" dxfId="130" priority="55" operator="equal">
      <formula>0</formula>
    </cfRule>
  </conditionalFormatting>
  <conditionalFormatting sqref="O16">
    <cfRule type="expression" dxfId="129" priority="54">
      <formula>N16=0</formula>
    </cfRule>
  </conditionalFormatting>
  <conditionalFormatting sqref="N18">
    <cfRule type="cellIs" dxfId="128" priority="49" operator="lessThan">
      <formula>0</formula>
    </cfRule>
  </conditionalFormatting>
  <conditionalFormatting sqref="O18">
    <cfRule type="expression" dxfId="127" priority="48">
      <formula>N18&lt;0</formula>
    </cfRule>
  </conditionalFormatting>
  <conditionalFormatting sqref="N19">
    <cfRule type="cellIs" dxfId="126" priority="47" operator="equal">
      <formula>0</formula>
    </cfRule>
  </conditionalFormatting>
  <conditionalFormatting sqref="O19">
    <cfRule type="expression" dxfId="125" priority="46">
      <formula>N19=0</formula>
    </cfRule>
  </conditionalFormatting>
  <conditionalFormatting sqref="N21">
    <cfRule type="cellIs" dxfId="124" priority="45" operator="equal">
      <formula>0</formula>
    </cfRule>
  </conditionalFormatting>
  <conditionalFormatting sqref="O21">
    <cfRule type="expression" dxfId="123" priority="44">
      <formula>N21=0</formula>
    </cfRule>
  </conditionalFormatting>
  <conditionalFormatting sqref="N22">
    <cfRule type="cellIs" dxfId="122" priority="41" operator="equal">
      <formula>0</formula>
    </cfRule>
  </conditionalFormatting>
  <conditionalFormatting sqref="O22">
    <cfRule type="expression" dxfId="121" priority="40">
      <formula>N22=0</formula>
    </cfRule>
  </conditionalFormatting>
  <conditionalFormatting sqref="R16 R18">
    <cfRule type="expression" dxfId="120" priority="39">
      <formula>N16=0</formula>
    </cfRule>
  </conditionalFormatting>
  <conditionalFormatting sqref="S16 S18">
    <cfRule type="expression" dxfId="119" priority="38">
      <formula>N16=0</formula>
    </cfRule>
  </conditionalFormatting>
  <conditionalFormatting sqref="R19">
    <cfRule type="expression" dxfId="118" priority="31">
      <formula>N19=0</formula>
    </cfRule>
  </conditionalFormatting>
  <conditionalFormatting sqref="S19">
    <cfRule type="expression" dxfId="117" priority="30">
      <formula>N19=0</formula>
    </cfRule>
  </conditionalFormatting>
  <conditionalFormatting sqref="R21">
    <cfRule type="expression" dxfId="116" priority="29">
      <formula>N21=0</formula>
    </cfRule>
  </conditionalFormatting>
  <conditionalFormatting sqref="S21">
    <cfRule type="expression" dxfId="115" priority="28">
      <formula>N21=0</formula>
    </cfRule>
  </conditionalFormatting>
  <conditionalFormatting sqref="R22">
    <cfRule type="expression" dxfId="114" priority="23">
      <formula>N22=0</formula>
    </cfRule>
  </conditionalFormatting>
  <conditionalFormatting sqref="S22">
    <cfRule type="expression" dxfId="113" priority="22">
      <formula>N22=0</formula>
    </cfRule>
  </conditionalFormatting>
  <conditionalFormatting sqref="U20">
    <cfRule type="cellIs" dxfId="112" priority="10" operator="equal">
      <formula>0</formula>
    </cfRule>
  </conditionalFormatting>
  <conditionalFormatting sqref="N20">
    <cfRule type="cellIs" dxfId="111" priority="9" operator="equal">
      <formula>0</formula>
    </cfRule>
  </conditionalFormatting>
  <conditionalFormatting sqref="O20">
    <cfRule type="expression" dxfId="110" priority="8">
      <formula>N20=0</formula>
    </cfRule>
  </conditionalFormatting>
  <conditionalFormatting sqref="R20">
    <cfRule type="expression" dxfId="109" priority="7">
      <formula>N20=0</formula>
    </cfRule>
  </conditionalFormatting>
  <conditionalFormatting sqref="S20">
    <cfRule type="expression" dxfId="108" priority="6">
      <formula>N20=0</formula>
    </cfRule>
  </conditionalFormatting>
  <conditionalFormatting sqref="U17">
    <cfRule type="cellIs" dxfId="107" priority="5" operator="equal">
      <formula>0</formula>
    </cfRule>
  </conditionalFormatting>
  <conditionalFormatting sqref="N17">
    <cfRule type="cellIs" dxfId="106" priority="4" operator="equal">
      <formula>0</formula>
    </cfRule>
  </conditionalFormatting>
  <conditionalFormatting sqref="O17">
    <cfRule type="expression" dxfId="105" priority="3">
      <formula>N17=0</formula>
    </cfRule>
  </conditionalFormatting>
  <conditionalFormatting sqref="R17">
    <cfRule type="expression" dxfId="104" priority="2">
      <formula>N17=0</formula>
    </cfRule>
  </conditionalFormatting>
  <conditionalFormatting sqref="S17">
    <cfRule type="expression" dxfId="103" priority="1">
      <formula>N17=0</formula>
    </cfRule>
  </conditionalFormatting>
  <dataValidations count="5">
    <dataValidation errorStyle="warning" allowBlank="1" showInputMessage="1" showErrorMessage="1" sqref="L12 M19:M22" xr:uid="{00000000-0002-0000-0000-000000000000}"/>
    <dataValidation type="list" allowBlank="1" showInputMessage="1" showErrorMessage="1" sqref="B19:C22 B27:C32 C18 B16:B18" xr:uid="{00000000-0002-0000-0000-000002000000}">
      <formula1>Nummern</formula1>
    </dataValidation>
    <dataValidation type="list" allowBlank="1" showDropDown="1" showInputMessage="1" showErrorMessage="1" sqref="E33 E27:E31 E16:E22"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J19:J22 J16:K18</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L19:L20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2023-02-08T16:20:21Z</dcterms:modified>
</cp:coreProperties>
</file>