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2_Chicken/Hot Dog/A_Online-Versionen/"/>
    </mc:Choice>
  </mc:AlternateContent>
  <xr:revisionPtr revIDLastSave="0" documentId="13_ncr:1_{336B1D65-6542-3848-9078-05D6AE5F50F5}" xr6:coauthVersionLast="47" xr6:coauthVersionMax="47" xr10:uidLastSave="{00000000-0000-0000-0000-000000000000}"/>
  <workbookProtection workbookAlgorithmName="SHA-512" workbookHashValue="eR03AjHNjyFKZv4wvNUkARhj+IeYrlpGQ/no69YFJYc7YPUQ/6MRvqy/ZXVKCasrw8XJprlzZ1uc3Vtu3bW47w==" workbookSaltValue="fULGYjyWJGPhyWmuVUt5zQ=="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Recipe!$B$8:$O$27</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Recipe!$B$1:$O$75</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Recipe!$N$21</definedName>
    <definedName name="Hyperlinks">Functions!$G$2:$G$1048576</definedName>
    <definedName name="ingredientsWeight">Recipe!$N$18:$N$25</definedName>
    <definedName name="ingredientsWeight2">#REF!,#REF!</definedName>
    <definedName name="ISP">Recipe!#REF!</definedName>
    <definedName name="Links">Functions!$G$1:$G$4</definedName>
    <definedName name="MandatoryIngredients">#REF!</definedName>
    <definedName name="MDM">Recipe!$N$12</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Recipe!$N$20</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Recipe!$R$27</definedName>
    <definedName name="TotalWeight">Recipe!$L$27</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3" i="1" l="1"/>
  <c r="Q23" i="1" s="1"/>
  <c r="S23" i="1" s="1"/>
  <c r="E23" i="1"/>
  <c r="D23" i="1"/>
  <c r="L11" i="1"/>
  <c r="Q12" i="1"/>
  <c r="S12" i="1" s="1"/>
  <c r="N12" i="1"/>
  <c r="O12" i="1" s="1"/>
  <c r="R12" i="1" l="1"/>
  <c r="E34" i="1"/>
  <c r="D34" i="1"/>
  <c r="E33" i="1"/>
  <c r="D33" i="1"/>
  <c r="Q15" i="1" l="1"/>
  <c r="S15" i="1" s="1"/>
  <c r="P22" i="1" l="1"/>
  <c r="Q22" i="1" s="1"/>
  <c r="S22" i="1" s="1"/>
  <c r="E22" i="1"/>
  <c r="D22" i="1"/>
  <c r="N13" i="1" l="1"/>
  <c r="N14" i="1"/>
  <c r="P20" i="1"/>
  <c r="Q20" i="1" s="1"/>
  <c r="S20" i="1" s="1"/>
  <c r="E20" i="1"/>
  <c r="D20" i="1"/>
  <c r="E36" i="1"/>
  <c r="D36" i="1"/>
  <c r="E35" i="1"/>
  <c r="D35" i="1"/>
  <c r="E32" i="1"/>
  <c r="D32" i="1"/>
  <c r="E31" i="1"/>
  <c r="D31" i="1"/>
  <c r="D30" i="1"/>
  <c r="N30" i="1"/>
  <c r="O30" i="1" s="1"/>
  <c r="I9" i="3"/>
  <c r="K9" i="3" s="1"/>
  <c r="P18" i="1"/>
  <c r="Q18" i="1" s="1"/>
  <c r="P19" i="1"/>
  <c r="Q19" i="1" s="1"/>
  <c r="S19" i="1" s="1"/>
  <c r="P24" i="1"/>
  <c r="Q24" i="1" s="1"/>
  <c r="S24" i="1" s="1"/>
  <c r="P21" i="1"/>
  <c r="P25" i="1"/>
  <c r="Q25" i="1" s="1"/>
  <c r="S25" i="1" s="1"/>
  <c r="Q27" i="1"/>
  <c r="K14" i="3"/>
  <c r="B34" i="3"/>
  <c r="B32" i="3"/>
  <c r="B33" i="3"/>
  <c r="C33" i="3"/>
  <c r="C32" i="3"/>
  <c r="C27" i="3"/>
  <c r="C31" i="3"/>
  <c r="B21" i="3"/>
  <c r="C28" i="3"/>
  <c r="K13" i="3"/>
  <c r="K10" i="3"/>
  <c r="Q14" i="1"/>
  <c r="S14" i="1" s="1"/>
  <c r="E21" i="1"/>
  <c r="E25" i="1"/>
  <c r="E19" i="1"/>
  <c r="E24" i="1"/>
  <c r="D18" i="3"/>
  <c r="C18" i="3"/>
  <c r="D17" i="3"/>
  <c r="C17" i="3"/>
  <c r="B38" i="3"/>
  <c r="B36" i="3"/>
  <c r="C13" i="3"/>
  <c r="E39" i="3"/>
  <c r="E40" i="3"/>
  <c r="E41" i="3"/>
  <c r="E38" i="3"/>
  <c r="B39" i="3"/>
  <c r="B40" i="3"/>
  <c r="B41" i="3"/>
  <c r="C25" i="3"/>
  <c r="C26" i="3"/>
  <c r="C22" i="3"/>
  <c r="B25" i="3"/>
  <c r="B26" i="3"/>
  <c r="B27" i="3"/>
  <c r="B28" i="3"/>
  <c r="B31" i="3"/>
  <c r="B22" i="3"/>
  <c r="D13" i="3"/>
  <c r="D18" i="1"/>
  <c r="D19" i="1"/>
  <c r="D21" i="1"/>
  <c r="D25" i="1"/>
  <c r="D24" i="1"/>
  <c r="E18" i="1"/>
  <c r="N21" i="1" l="1"/>
  <c r="N15" i="1" s="1"/>
  <c r="N16" i="1" s="1"/>
  <c r="G8" i="3"/>
  <c r="R14" i="1"/>
  <c r="O14" i="1"/>
  <c r="G13" i="3"/>
  <c r="Q21" i="1"/>
  <c r="S21" i="1" s="1"/>
  <c r="S18" i="1"/>
  <c r="Q26" i="1"/>
  <c r="N23" i="1" l="1"/>
  <c r="N24" i="1"/>
  <c r="O24" i="1" s="1"/>
  <c r="N22" i="1"/>
  <c r="N25" i="1"/>
  <c r="O21" i="1"/>
  <c r="L15" i="1"/>
  <c r="O15" i="1"/>
  <c r="R15" i="1"/>
  <c r="R21" i="1"/>
  <c r="U21" i="1"/>
  <c r="G9" i="3"/>
  <c r="H13" i="3"/>
  <c r="L13" i="3"/>
  <c r="M13" i="3" s="1"/>
  <c r="M11" i="3" s="1"/>
  <c r="S26" i="1"/>
  <c r="S27" i="1"/>
  <c r="U22" i="1" l="1"/>
  <c r="O22" i="1"/>
  <c r="R22" i="1"/>
  <c r="U23" i="1"/>
  <c r="O23" i="1"/>
  <c r="R23" i="1"/>
  <c r="F9" i="3"/>
  <c r="G10" i="3"/>
  <c r="F14" i="3" s="1"/>
  <c r="L9" i="3"/>
  <c r="N19" i="1" l="1"/>
  <c r="U19" i="1" s="1"/>
  <c r="L16" i="1"/>
  <c r="N18" i="1"/>
  <c r="L10" i="3"/>
  <c r="M10" i="3" s="1"/>
  <c r="F10" i="3"/>
  <c r="M9" i="3"/>
  <c r="G11" i="3"/>
  <c r="U24" i="1"/>
  <c r="R24" i="1"/>
  <c r="O25" i="1"/>
  <c r="R25" i="1"/>
  <c r="U25" i="1"/>
  <c r="U18" i="1" l="1"/>
  <c r="R19" i="1"/>
  <c r="O19" i="1"/>
  <c r="O18" i="1"/>
  <c r="R18" i="1"/>
  <c r="L11" i="3"/>
  <c r="L14" i="3" s="1"/>
  <c r="I11" i="3" l="1"/>
  <c r="M14" i="3"/>
  <c r="P13" i="1"/>
  <c r="I14" i="3"/>
  <c r="Q13" i="1" l="1"/>
  <c r="S13" i="1" s="1"/>
  <c r="R13" i="1"/>
  <c r="R16" i="1" s="1"/>
  <c r="S16" i="1" l="1"/>
  <c r="P16" i="1" l="1"/>
  <c r="Q16" i="1" s="1"/>
  <c r="N20" i="1"/>
  <c r="L20" i="1" l="1"/>
  <c r="U26" i="1" l="1"/>
  <c r="O20" i="1"/>
  <c r="R20" i="1"/>
  <c r="R26" i="1" s="1"/>
  <c r="N26" i="1"/>
  <c r="L27" i="1" s="1"/>
  <c r="L26" i="1"/>
  <c r="P26" i="1" l="1"/>
  <c r="R27" i="1"/>
  <c r="P27" i="1" s="1"/>
  <c r="U27" i="1"/>
</calcChain>
</file>

<file path=xl/sharedStrings.xml><?xml version="1.0" encoding="utf-8"?>
<sst xmlns="http://schemas.openxmlformats.org/spreadsheetml/2006/main" count="5218" uniqueCount="3243">
  <si>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</si>
  <si>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</si>
  <si>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</si>
  <si>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</si>
  <si>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</si>
  <si>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</si>
  <si>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</si>
  <si>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</si>
  <si>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</si>
  <si>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</si>
  <si>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</si>
  <si>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</si>
  <si>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</si>
  <si>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</si>
  <si>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</si>
  <si>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</si>
  <si>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</si>
  <si>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</si>
  <si>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</si>
  <si>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</si>
  <si>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</si>
  <si>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</si>
  <si>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</si>
  <si>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</si>
  <si>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</si>
  <si>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</si>
  <si>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</si>
  <si>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</si>
  <si>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</si>
  <si>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</si>
  <si>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</si>
  <si>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</si>
  <si>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</si>
  <si>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</si>
  <si>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</si>
  <si>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</si>
  <si>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</si>
  <si>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</si>
  <si>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</si>
  <si>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</si>
  <si>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</si>
  <si>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</si>
  <si>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</si>
  <si>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</si>
  <si>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</si>
  <si>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</si>
  <si>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</si>
  <si>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</si>
  <si>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</si>
  <si>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</si>
  <si>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</si>
  <si>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</si>
  <si>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</si>
  <si>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</si>
  <si>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</si>
  <si>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</si>
  <si>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</si>
  <si>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</si>
  <si>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</si>
  <si>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</si>
  <si>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</si>
  <si>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</si>
  <si>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</si>
  <si>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</si>
  <si>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</si>
  <si>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</si>
  <si>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</si>
  <si>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</si>
  <si>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</si>
  <si>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</si>
  <si>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</si>
  <si>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</si>
  <si>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</si>
  <si>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</si>
  <si>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</si>
  <si>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</si>
  <si>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</si>
  <si>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</si>
  <si>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</si>
  <si>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</si>
  <si>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</si>
  <si>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</si>
  <si>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</si>
  <si>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</si>
  <si>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</si>
  <si>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</si>
  <si>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</si>
  <si>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</si>
  <si>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</si>
  <si>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</si>
  <si>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</si>
  <si>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</si>
  <si>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</si>
  <si>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</si>
  <si>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</si>
  <si>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</si>
  <si>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</si>
  <si>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</si>
  <si>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</si>
  <si>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</si>
  <si>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</si>
  <si>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</si>
  <si>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</si>
  <si>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</si>
  <si>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</si>
  <si>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</si>
  <si>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</si>
  <si>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</si>
  <si>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</si>
  <si>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</si>
  <si>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</si>
  <si>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</si>
  <si>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</si>
  <si>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</si>
  <si>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</si>
  <si>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</si>
  <si>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</si>
  <si>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</si>
  <si>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</si>
  <si>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</si>
  <si>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</si>
  <si>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</si>
  <si>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</si>
  <si>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</si>
  <si>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</si>
  <si>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</si>
  <si>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</si>
  <si>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</si>
  <si>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</si>
  <si>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</si>
  <si>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</si>
  <si>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</si>
  <si>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</si>
  <si>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</si>
  <si>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</si>
  <si>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</si>
  <si>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</si>
  <si>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</si>
  <si>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</si>
  <si>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</si>
  <si>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</si>
  <si>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</si>
  <si>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</si>
  <si>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</si>
  <si>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</si>
  <si>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</si>
  <si>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</si>
  <si>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</si>
  <si>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</si>
  <si>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</si>
  <si>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</si>
  <si>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</si>
  <si>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</si>
  <si>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</si>
  <si>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</si>
  <si>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</si>
  <si>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</si>
  <si>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</si>
  <si>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</si>
  <si>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</si>
  <si>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</si>
  <si>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</si>
  <si>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</si>
  <si>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</si>
  <si>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</si>
  <si>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</si>
  <si>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</si>
  <si>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</si>
  <si>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</si>
  <si>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</si>
  <si>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</si>
  <si>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</si>
  <si>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</si>
  <si>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</si>
  <si>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</si>
  <si>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</si>
  <si>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</si>
  <si>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</si>
  <si>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</si>
  <si>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</si>
  <si>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</si>
  <si>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</si>
  <si>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</si>
  <si>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</si>
  <si>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</si>
  <si>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</si>
  <si>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</si>
  <si>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</si>
  <si>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</si>
  <si>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</si>
  <si>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</si>
  <si>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</si>
  <si>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</si>
  <si>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</si>
  <si>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</si>
  <si>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</si>
  <si>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</si>
  <si>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</si>
  <si>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</si>
  <si>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</si>
  <si>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</si>
  <si>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</si>
  <si>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</si>
  <si>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</si>
  <si>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</si>
  <si>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</si>
  <si>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</si>
  <si>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</si>
  <si>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</si>
  <si>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</si>
  <si>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</si>
  <si>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</si>
  <si>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</si>
  <si>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</si>
  <si>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</si>
  <si>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</si>
  <si>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</si>
  <si>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</si>
  <si>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</si>
  <si>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</si>
  <si>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</si>
  <si>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</si>
  <si>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</si>
  <si>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</si>
  <si>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</si>
  <si>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</si>
  <si>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</si>
  <si>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</si>
  <si>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</si>
  <si>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</si>
  <si>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</si>
  <si>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</si>
  <si>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</si>
  <si>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</si>
  <si>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</si>
  <si>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</si>
  <si>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</si>
  <si>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</si>
  <si>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</si>
  <si>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</si>
  <si>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</si>
  <si>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</si>
  <si>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</si>
  <si>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</si>
  <si>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</si>
  <si>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</si>
  <si>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</si>
  <si>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</si>
  <si>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</si>
  <si>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</si>
  <si>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</si>
  <si>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</si>
  <si>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</si>
  <si>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</si>
  <si>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</si>
  <si>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</si>
  <si>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</si>
  <si>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</si>
  <si>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</si>
  <si>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</si>
  <si>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</si>
  <si>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</si>
  <si>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</si>
  <si>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</si>
  <si>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</si>
  <si>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</si>
  <si>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</si>
  <si>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</si>
  <si>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</si>
  <si>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</si>
  <si>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</si>
  <si>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</si>
  <si>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</si>
  <si>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</si>
  <si>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</si>
  <si>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</si>
  <si>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</si>
  <si>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</si>
  <si>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</si>
  <si>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</si>
  <si>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</si>
  <si>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</si>
  <si>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</si>
  <si>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</si>
  <si>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</si>
  <si>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</si>
  <si>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</si>
  <si>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</si>
  <si>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</si>
  <si>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</si>
  <si>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</si>
  <si>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</si>
  <si>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</si>
  <si>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</si>
  <si>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</si>
  <si>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</si>
  <si>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</si>
  <si>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</si>
  <si>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</si>
  <si>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</si>
  <si>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</si>
  <si>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</si>
  <si>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</si>
  <si>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</si>
  <si>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</si>
  <si>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</si>
  <si>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</si>
  <si>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</si>
  <si>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</si>
  <si>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</si>
  <si>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</si>
  <si>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</si>
  <si>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</si>
  <si>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</si>
  <si>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</si>
  <si>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</si>
  <si>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</si>
  <si>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</si>
  <si>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</si>
  <si>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</si>
  <si>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</si>
  <si>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</si>
  <si>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</si>
  <si>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</si>
  <si>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</si>
  <si>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</si>
  <si>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</si>
  <si>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</si>
  <si>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</si>
  <si>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</si>
  <si>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</si>
  <si>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</si>
  <si>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</si>
  <si>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</si>
  <si>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</si>
  <si>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</si>
  <si>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</si>
  <si>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</si>
  <si>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</si>
  <si>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</si>
  <si>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</si>
  <si>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</si>
  <si>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</si>
  <si>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</si>
  <si>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</si>
  <si>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</si>
  <si>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</si>
  <si>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</si>
  <si>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</si>
  <si>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</si>
  <si>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</si>
  <si>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</si>
  <si>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</si>
  <si>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</si>
  <si>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</si>
  <si>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</si>
  <si>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</si>
  <si>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</si>
  <si>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</si>
  <si>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</si>
  <si>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</si>
  <si>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</si>
  <si>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</si>
  <si>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</si>
  <si>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</si>
  <si>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</si>
  <si>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</si>
  <si>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</si>
  <si>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</si>
  <si>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</si>
  <si>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</si>
  <si>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</si>
  <si>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</si>
  <si>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</si>
  <si>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</si>
  <si>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</si>
  <si>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</si>
  <si>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</si>
  <si>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</si>
  <si>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</si>
  <si>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</si>
  <si>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</si>
  <si>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</si>
  <si>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</si>
  <si>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</si>
  <si>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</si>
  <si>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</si>
  <si>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</si>
  <si>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</si>
  <si>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</si>
  <si>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</si>
  <si>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</si>
  <si>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</si>
  <si>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</si>
  <si>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</si>
  <si>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</si>
  <si>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</si>
  <si>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</si>
  <si>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</si>
  <si>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</si>
  <si>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</si>
  <si>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</si>
  <si>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</si>
  <si>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</si>
  <si>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</si>
  <si>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</si>
  <si>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</si>
  <si>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</si>
  <si>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</si>
  <si>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</si>
  <si>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</si>
  <si>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</si>
  <si>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</si>
  <si>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</si>
  <si>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</si>
  <si>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</si>
  <si>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</si>
  <si>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</si>
  <si>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</si>
  <si>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</si>
  <si>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</si>
  <si>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</si>
  <si>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</si>
  <si>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</si>
  <si>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</si>
  <si>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</si>
  <si>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</si>
  <si>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</si>
  <si>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</si>
  <si>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</si>
  <si>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</si>
  <si>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</si>
  <si>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</si>
  <si>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</si>
  <si>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</si>
  <si>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</si>
  <si>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</si>
  <si>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</si>
  <si>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</si>
  <si>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</si>
  <si>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</si>
  <si>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</si>
  <si>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</si>
  <si>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</si>
  <si>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</si>
  <si>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</si>
  <si>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</si>
  <si>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</si>
  <si>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</si>
  <si>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</si>
  <si>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</si>
  <si>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</si>
  <si>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</si>
  <si>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</si>
  <si>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</si>
  <si>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</si>
  <si>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</si>
  <si>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</si>
  <si>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</si>
  <si>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</si>
  <si>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</si>
  <si>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</si>
  <si>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</si>
  <si>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</si>
  <si>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</si>
  <si>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</si>
  <si>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</si>
  <si>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</si>
  <si>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</si>
  <si>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</si>
  <si>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</si>
  <si>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</si>
  <si>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</si>
  <si>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</si>
  <si>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</si>
  <si>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</si>
  <si>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</si>
  <si>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</si>
  <si>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</si>
  <si>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</si>
  <si>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</si>
  <si>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</si>
  <si>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</si>
  <si>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</si>
  <si>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</si>
  <si>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</si>
  <si>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</si>
  <si>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</si>
  <si>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</si>
  <si>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</si>
  <si>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</si>
  <si>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</si>
  <si>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</si>
  <si>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</si>
  <si>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</si>
  <si>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</si>
  <si>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</si>
  <si>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</si>
  <si>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</si>
  <si>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</si>
  <si>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</si>
  <si>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</si>
  <si>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</si>
  <si>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</si>
  <si>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</si>
  <si>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</si>
  <si>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</si>
  <si>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</si>
  <si>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</si>
  <si>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</si>
  <si>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</si>
  <si>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</si>
  <si>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</si>
  <si>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</si>
  <si>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</si>
  <si>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</si>
  <si>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</si>
  <si>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</si>
  <si>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</si>
  <si>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</si>
  <si>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</si>
  <si>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</si>
  <si>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</si>
  <si>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</si>
  <si>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</si>
  <si>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</si>
  <si>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</si>
  <si>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</si>
  <si>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</si>
  <si>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</si>
  <si>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</si>
  <si>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</si>
  <si>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</si>
  <si>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</si>
  <si>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</si>
  <si>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</si>
  <si>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</si>
  <si>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</si>
  <si>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</si>
  <si>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</si>
  <si>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</si>
  <si>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</si>
  <si>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</si>
  <si>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</si>
  <si>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</si>
  <si>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</si>
  <si>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</si>
  <si>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</si>
  <si>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</si>
  <si>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</si>
  <si>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</si>
  <si>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</si>
  <si>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</si>
  <si>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</si>
  <si>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</si>
  <si>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</si>
  <si>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</si>
  <si>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</si>
  <si>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</si>
  <si>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</si>
  <si>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</si>
  <si>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</si>
  <si>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</si>
  <si>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</si>
  <si>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</si>
  <si>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</si>
  <si>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</si>
  <si>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</si>
  <si>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</si>
  <si>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</si>
  <si>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</si>
  <si>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</si>
  <si>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</si>
  <si>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</si>
  <si>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</si>
  <si>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</si>
  <si>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</si>
  <si>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</si>
  <si>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</si>
  <si>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</si>
  <si>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</si>
  <si>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</si>
  <si>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</si>
  <si>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</si>
  <si>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</si>
  <si>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</si>
  <si>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</si>
  <si>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</si>
  <si>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</si>
  <si>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</si>
  <si>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</si>
  <si>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</si>
  <si>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</si>
  <si>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</si>
  <si>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</si>
  <si>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</si>
  <si>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</si>
  <si>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</si>
  <si>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</si>
  <si>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</si>
  <si>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</si>
  <si>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</si>
  <si>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</si>
  <si>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</si>
  <si>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</si>
  <si>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</si>
  <si>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</si>
  <si>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</si>
  <si>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</si>
  <si>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</si>
  <si>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</si>
  <si>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</si>
  <si>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</si>
  <si>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</si>
  <si>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</si>
  <si>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</si>
  <si>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</si>
  <si>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</si>
  <si>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</si>
  <si>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</si>
  <si>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</si>
  <si>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</si>
  <si>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</si>
  <si>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</si>
  <si>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</si>
  <si>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</si>
  <si>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</si>
  <si>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</si>
  <si>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</si>
  <si>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</si>
  <si>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</si>
  <si>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</si>
  <si>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</si>
  <si>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</si>
  <si>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</si>
  <si>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</si>
  <si>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</si>
  <si>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</si>
  <si>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</si>
  <si>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</si>
  <si>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</si>
  <si>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</si>
  <si>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</si>
  <si>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</si>
  <si>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</si>
  <si>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</si>
  <si>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</si>
  <si>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</si>
  <si>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</si>
  <si>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</si>
  <si>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</si>
  <si>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</si>
  <si>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</si>
  <si>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</si>
  <si>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</si>
  <si>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</si>
  <si>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</si>
  <si>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</si>
  <si>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</si>
  <si>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</si>
  <si>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</si>
  <si>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</si>
  <si>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</si>
  <si>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</si>
  <si>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</si>
  <si>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</si>
  <si>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</si>
  <si>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</si>
  <si>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</si>
  <si>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</si>
  <si>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</si>
  <si>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</si>
  <si>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</si>
  <si>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</si>
  <si>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</si>
  <si>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</si>
  <si>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</si>
  <si>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</si>
  <si>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</si>
  <si>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</si>
  <si>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</si>
  <si>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</si>
  <si>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</si>
  <si>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</si>
  <si>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</si>
  <si>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</si>
  <si>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</si>
  <si>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</si>
  <si>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</si>
  <si>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</si>
  <si>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</si>
  <si>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</si>
  <si>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</si>
  <si>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</si>
  <si>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</si>
  <si>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</si>
  <si>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</si>
  <si>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</si>
  <si>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</si>
  <si>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</si>
  <si>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</si>
  <si>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</si>
  <si>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</si>
  <si>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</si>
  <si>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</si>
  <si>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</si>
  <si>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</si>
  <si>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</si>
  <si>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</si>
  <si>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</si>
  <si>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</si>
  <si>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</si>
  <si>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</si>
  <si>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</si>
  <si>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</si>
  <si>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</si>
  <si>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</si>
  <si>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</si>
  <si>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</si>
  <si>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</si>
  <si>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</si>
  <si>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</si>
  <si>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</si>
  <si>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</si>
  <si>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</si>
  <si>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</si>
  <si>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</si>
  <si>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</si>
  <si>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</si>
  <si>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</si>
  <si>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</si>
  <si>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</si>
  <si>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</si>
  <si>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</si>
  <si>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</si>
  <si>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</si>
  <si>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</si>
  <si>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</si>
  <si>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</si>
  <si>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</si>
  <si>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</si>
  <si>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</si>
  <si>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</si>
  <si>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</si>
  <si>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</si>
  <si>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</si>
  <si>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</si>
  <si>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</si>
  <si>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</si>
  <si>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</si>
  <si>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</si>
  <si>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</si>
  <si>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</si>
  <si>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</si>
  <si>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</si>
  <si>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</si>
  <si>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</si>
  <si>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</si>
  <si>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</si>
  <si>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</si>
  <si>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</si>
  <si>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</si>
  <si>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</si>
  <si>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</si>
  <si>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</si>
  <si>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</si>
  <si>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</si>
  <si>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</si>
  <si>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</si>
  <si>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</si>
  <si>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</si>
  <si>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</si>
  <si>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</si>
  <si>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</si>
  <si>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</si>
  <si>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</si>
  <si>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</si>
  <si>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</si>
  <si>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</si>
  <si>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</si>
  <si>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</si>
  <si>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</si>
  <si>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</si>
  <si>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</si>
  <si>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</si>
  <si>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</si>
  <si>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</si>
  <si>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</si>
  <si>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</si>
  <si>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</si>
  <si>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</si>
  <si>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</si>
  <si>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</si>
  <si>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</si>
  <si>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</si>
  <si>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</si>
  <si>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</si>
  <si>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</si>
  <si>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</si>
  <si>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</si>
  <si>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</si>
  <si>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</si>
  <si>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</si>
  <si>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</si>
  <si>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</si>
  <si>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</si>
  <si>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</si>
  <si>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</si>
  <si>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</si>
  <si>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</si>
  <si>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</si>
  <si>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</si>
  <si>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</si>
  <si>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</si>
  <si>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</si>
  <si>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</si>
  <si>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</si>
  <si>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</si>
  <si>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</si>
  <si>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</si>
  <si>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</si>
  <si>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</si>
  <si>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</si>
  <si>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</si>
  <si>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</si>
  <si>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</si>
  <si>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</si>
  <si>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</si>
  <si>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</si>
  <si>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</si>
  <si>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</si>
  <si>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</si>
  <si>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</si>
  <si>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</si>
  <si>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</si>
  <si>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</si>
  <si>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</si>
  <si>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</si>
  <si>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</si>
  <si>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</si>
  <si>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</si>
  <si>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</si>
  <si>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</si>
  <si>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</si>
  <si>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</si>
  <si>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</si>
  <si>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</si>
  <si>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</si>
  <si>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</si>
  <si>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</si>
  <si>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</si>
  <si>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</si>
  <si>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</si>
  <si>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</si>
  <si>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</si>
  <si>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</si>
  <si>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</si>
  <si>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</si>
  <si>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</si>
  <si>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</si>
  <si>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</si>
  <si>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</si>
  <si>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</si>
  <si>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</si>
  <si>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</si>
  <si>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</si>
  <si>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</si>
  <si>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</si>
  <si>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</si>
  <si>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</si>
  <si>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</si>
  <si>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</si>
  <si>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</si>
  <si>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</si>
  <si>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</si>
  <si>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</si>
  <si>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</si>
  <si>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</si>
  <si>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</si>
  <si>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</si>
  <si>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</si>
  <si>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</si>
  <si>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</si>
  <si>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</si>
  <si>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</si>
  <si>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</si>
  <si>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</si>
  <si>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</si>
  <si>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</si>
  <si>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</si>
  <si>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</si>
  <si>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</si>
  <si>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</si>
  <si>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</si>
  <si>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</si>
  <si>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</si>
  <si>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</si>
  <si>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</si>
  <si>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</si>
  <si>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</si>
  <si>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</si>
  <si>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</si>
  <si>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</si>
  <si>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</si>
  <si>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</si>
  <si>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</si>
  <si>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</si>
  <si>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</si>
  <si>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</si>
  <si>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</si>
  <si>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</si>
  <si>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</si>
  <si>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</si>
  <si>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</si>
  <si>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</si>
  <si>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</si>
  <si>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</si>
  <si>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</si>
  <si>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</si>
  <si>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</si>
  <si>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</si>
  <si>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</si>
  <si>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</si>
  <si>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</si>
  <si>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</si>
  <si>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</si>
  <si>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</si>
  <si>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</si>
  <si>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</si>
  <si>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</si>
  <si>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</si>
  <si>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</si>
  <si>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</si>
  <si>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</si>
  <si>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</si>
  <si>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</si>
  <si>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</si>
  <si>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</si>
  <si>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</si>
  <si>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</si>
  <si>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</si>
  <si>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</si>
  <si>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</si>
  <si>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</si>
  <si>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</si>
  <si>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</si>
  <si>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</si>
  <si>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</si>
  <si>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</si>
  <si>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</si>
  <si>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</si>
  <si>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</si>
  <si>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</si>
  <si>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</si>
  <si>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</si>
  <si>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</si>
  <si>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</si>
  <si>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</si>
  <si>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</si>
  <si>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</si>
  <si>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</si>
  <si>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</si>
  <si>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</si>
  <si>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</si>
  <si>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</si>
  <si>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</si>
  <si>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</si>
  <si>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</si>
  <si>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</si>
  <si>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</si>
  <si>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</si>
  <si>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</si>
  <si>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</si>
  <si>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</si>
  <si>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</si>
  <si>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</si>
  <si>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</si>
  <si>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</si>
  <si>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</si>
  <si>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</si>
  <si>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</si>
  <si>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</si>
  <si>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</si>
  <si>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</si>
  <si>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</si>
  <si>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</si>
  <si>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</si>
  <si>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</si>
  <si>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</si>
  <si>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</si>
  <si>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</si>
  <si>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</si>
  <si>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</si>
  <si>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</si>
  <si>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</si>
  <si>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</si>
  <si>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</si>
  <si>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</si>
  <si>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</si>
  <si>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</si>
  <si>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</si>
  <si>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</si>
  <si>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</si>
  <si>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</si>
  <si>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</si>
  <si>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</si>
  <si>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</si>
  <si>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</si>
  <si>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</si>
  <si>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</si>
  <si>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</si>
  <si>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</si>
  <si>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</si>
  <si>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</si>
  <si>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</si>
  <si>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</si>
  <si>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</si>
  <si>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</si>
  <si>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</si>
  <si>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</si>
  <si>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</si>
  <si>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</si>
  <si>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</si>
  <si>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</si>
  <si>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</si>
  <si>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</si>
  <si>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</si>
  <si>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</si>
  <si>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</si>
  <si>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</si>
  <si>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</si>
  <si>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</si>
  <si>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</si>
  <si>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</si>
  <si>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</si>
  <si>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</si>
  <si>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</si>
  <si>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</si>
  <si>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</si>
  <si>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</si>
  <si>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</si>
  <si>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</si>
  <si>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</si>
  <si>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</si>
  <si>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</si>
  <si>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</si>
  <si>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</si>
  <si>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</si>
  <si>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</si>
  <si>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</si>
  <si>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</si>
  <si>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</si>
  <si>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</si>
  <si>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</si>
  <si>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</si>
  <si>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</si>
  <si>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</si>
  <si>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</si>
  <si>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</si>
  <si>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</si>
  <si>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</si>
  <si>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</si>
  <si>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</si>
  <si>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</si>
  <si>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</si>
  <si>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</si>
  <si>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</si>
  <si>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</si>
  <si>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</si>
  <si>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</si>
  <si>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</si>
  <si>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</si>
  <si>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</si>
  <si>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</si>
  <si>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</si>
  <si>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</si>
  <si>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</si>
  <si>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</si>
  <si>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</si>
  <si>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</si>
  <si>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</si>
  <si>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</si>
  <si>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</si>
  <si>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</si>
  <si>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</si>
  <si>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</si>
  <si>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</si>
  <si>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</si>
  <si>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</si>
  <si>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</si>
  <si>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</si>
  <si>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</si>
  <si>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</si>
  <si>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</si>
  <si>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</si>
  <si>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</si>
  <si>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</si>
  <si>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</si>
  <si>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</si>
  <si>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</si>
  <si>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</si>
  <si>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</si>
  <si>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</si>
  <si>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</si>
  <si>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</si>
  <si>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</si>
  <si>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</si>
  <si>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</si>
  <si>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</si>
  <si>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</si>
  <si>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</si>
  <si>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</si>
  <si>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</si>
  <si>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</si>
  <si>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</si>
  <si>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</si>
  <si>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</si>
  <si>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</si>
  <si>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</si>
  <si>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</si>
  <si>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</si>
  <si>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</si>
  <si>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</si>
  <si>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</si>
  <si>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</si>
  <si>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</si>
  <si>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</si>
  <si>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</si>
  <si>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</si>
  <si>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</si>
  <si>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</si>
  <si>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</si>
  <si>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</si>
  <si>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</si>
  <si>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</si>
  <si>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</si>
  <si>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</si>
  <si>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</si>
  <si>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</si>
  <si>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</si>
  <si>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</si>
  <si>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</si>
  <si>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</si>
  <si>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</si>
  <si>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</si>
  <si>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</si>
  <si>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</si>
  <si>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</si>
  <si>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</si>
  <si>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</si>
  <si>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</si>
  <si>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</si>
  <si>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</si>
  <si>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</si>
  <si>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</si>
  <si>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</si>
  <si>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</si>
  <si>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</si>
  <si>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</si>
  <si>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</si>
  <si>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</si>
  <si>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</si>
  <si>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</si>
  <si>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</si>
  <si>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</si>
  <si>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</si>
  <si>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</si>
  <si>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</si>
  <si>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</si>
  <si>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</si>
  <si>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</si>
  <si>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</si>
  <si>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</si>
  <si>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</si>
  <si>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</si>
  <si>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</si>
  <si>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</si>
  <si>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</si>
  <si>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</si>
  <si>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</si>
  <si>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</si>
  <si>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</si>
  <si>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</si>
  <si>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</si>
  <si>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</si>
  <si>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</si>
  <si>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</si>
  <si>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</si>
  <si>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</si>
  <si>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</si>
  <si>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</si>
  <si>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</si>
  <si>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</si>
  <si>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</si>
  <si>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</si>
  <si>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</si>
  <si>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</si>
  <si>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</si>
  <si>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</si>
  <si>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</si>
  <si>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</si>
  <si>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</si>
  <si>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</si>
  <si>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</si>
  <si>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</si>
  <si>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</si>
  <si>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</si>
  <si>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</si>
  <si>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</si>
  <si>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</si>
  <si>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</si>
  <si>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</si>
  <si>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</si>
  <si>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</si>
  <si>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</si>
  <si>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</si>
  <si>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</si>
  <si>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</si>
  <si>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</si>
  <si>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</si>
  <si>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</si>
  <si>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</si>
  <si>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</si>
  <si>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</si>
  <si>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</si>
  <si>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</si>
  <si>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</si>
  <si>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</si>
  <si>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</si>
  <si>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</si>
  <si>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</si>
  <si>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</si>
  <si>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</si>
  <si>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</si>
  <si>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</si>
  <si>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</si>
  <si>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</si>
  <si>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</si>
  <si>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</si>
  <si>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</si>
  <si>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</si>
  <si>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</si>
  <si>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</si>
  <si>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</si>
  <si>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</si>
  <si>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</si>
  <si>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</si>
  <si>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</si>
  <si>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</si>
  <si>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</si>
  <si>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</si>
  <si>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</si>
  <si>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</si>
  <si>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</si>
  <si>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</si>
  <si>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</si>
  <si>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</si>
  <si>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</si>
  <si>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</si>
  <si>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</si>
  <si>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</si>
  <si>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</si>
  <si>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</si>
  <si>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</si>
  <si>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</si>
  <si>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</si>
  <si>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</si>
  <si>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</si>
  <si>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</si>
  <si>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</si>
  <si>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</si>
  <si>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</si>
  <si>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</si>
  <si>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</si>
  <si>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</si>
  <si>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</si>
  <si>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</si>
  <si>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</si>
  <si>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</si>
  <si>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</si>
  <si>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</si>
  <si>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</si>
  <si>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</si>
  <si>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</si>
  <si>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</si>
  <si>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</si>
  <si>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</si>
  <si>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</si>
  <si>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</si>
  <si>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</si>
  <si>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</si>
  <si>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</si>
  <si>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</si>
  <si>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</si>
  <si>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</si>
  <si>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</si>
  <si>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</si>
  <si>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</si>
  <si>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</si>
  <si>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</si>
  <si>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</si>
  <si>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</si>
  <si>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</si>
  <si>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</si>
  <si>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</si>
  <si>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</si>
  <si>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</si>
  <si>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</si>
  <si>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</si>
  <si>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</si>
  <si>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</si>
  <si>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</si>
  <si>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</si>
  <si>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</si>
  <si>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</si>
  <si>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</si>
  <si>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</si>
  <si>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</si>
  <si>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</si>
  <si>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</si>
  <si>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</si>
  <si>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</si>
  <si>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</si>
  <si>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</si>
  <si>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</si>
  <si>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</si>
  <si>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</si>
  <si>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</si>
  <si>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</si>
  <si>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</si>
  <si>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</si>
  <si>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</si>
  <si>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</si>
  <si>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</si>
  <si>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</si>
  <si>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</si>
  <si>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</si>
  <si>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</si>
  <si>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</si>
  <si>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</si>
  <si>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</si>
  <si>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</si>
  <si>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</si>
  <si>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</si>
  <si>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</si>
  <si>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</si>
  <si>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</si>
  <si>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</si>
  <si>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</si>
  <si>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</si>
  <si>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</si>
  <si>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</si>
  <si>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</si>
  <si>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</si>
  <si>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</si>
  <si>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</si>
  <si>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</si>
  <si>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</si>
  <si>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</si>
  <si>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</si>
  <si>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</si>
  <si>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</si>
  <si>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</si>
  <si>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</si>
  <si>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</si>
  <si>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</si>
  <si>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</si>
  <si>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</si>
  <si>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</si>
  <si>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</si>
  <si>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</si>
  <si>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</si>
  <si>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</si>
  <si>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</si>
  <si>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</si>
  <si>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</si>
  <si>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</si>
  <si>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</si>
  <si>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</si>
  <si>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</si>
  <si>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</si>
  <si>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</si>
  <si>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</si>
  <si>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</si>
  <si>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</si>
  <si>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</si>
  <si>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</si>
  <si>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</si>
  <si>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</si>
  <si>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</si>
  <si>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</si>
  <si>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</si>
  <si>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</si>
  <si>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</si>
  <si>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</si>
  <si>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</si>
  <si>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</si>
  <si>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</si>
  <si>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</si>
  <si>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</si>
  <si>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</si>
  <si>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</si>
  <si>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</si>
  <si>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</si>
  <si>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</si>
  <si>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</si>
  <si>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</si>
  <si>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</si>
  <si>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</si>
  <si>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</si>
  <si>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</si>
  <si>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</si>
  <si>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</si>
  <si>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</si>
  <si>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</si>
  <si>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</si>
  <si>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</si>
  <si>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</si>
  <si>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</si>
  <si>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</si>
  <si>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</si>
  <si>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</si>
  <si>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</si>
  <si>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</si>
  <si>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</si>
  <si>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</si>
  <si>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</si>
  <si>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</si>
  <si>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</si>
  <si>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</si>
  <si>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</si>
  <si>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</si>
  <si>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</si>
  <si>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</si>
  <si>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</si>
  <si>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</si>
  <si>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</si>
  <si>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</si>
  <si>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</si>
  <si>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</si>
  <si>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</si>
  <si>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</si>
  <si>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</si>
  <si>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</si>
  <si>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</si>
  <si>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</si>
  <si>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</si>
  <si>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</si>
  <si>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</si>
  <si>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</si>
  <si>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</si>
  <si>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</si>
  <si>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</si>
  <si>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</si>
  <si>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</si>
  <si>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</si>
  <si>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</si>
  <si>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</si>
  <si>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</si>
  <si>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</si>
  <si>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</si>
  <si>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</si>
  <si>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</si>
  <si>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</si>
  <si>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</si>
  <si>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</si>
  <si>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</si>
  <si>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</si>
  <si>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</si>
  <si>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</si>
  <si>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</si>
  <si>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</si>
  <si>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</si>
  <si>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</si>
  <si>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</si>
  <si>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</si>
  <si>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</si>
  <si>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</si>
  <si>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</si>
  <si>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</si>
  <si>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</si>
  <si>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</si>
  <si>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</si>
  <si>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</si>
  <si>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</si>
  <si>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</si>
  <si>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</si>
  <si>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</si>
  <si>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</si>
  <si>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</si>
  <si>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</si>
  <si>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</si>
  <si>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</si>
  <si>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</si>
  <si>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</si>
  <si>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</si>
  <si>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</si>
  <si>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</si>
  <si>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</si>
  <si>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</si>
  <si>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</si>
  <si>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</si>
  <si>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</si>
  <si>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</si>
  <si>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</si>
  <si>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</si>
  <si>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</si>
  <si>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</si>
  <si>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</si>
  <si>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</si>
  <si>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</si>
  <si>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</si>
  <si>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</si>
  <si>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</si>
  <si>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</si>
  <si>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</si>
  <si>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</si>
  <si>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</si>
  <si>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</si>
  <si>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</si>
  <si>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</si>
  <si>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</si>
  <si>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</si>
  <si>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</si>
  <si>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</si>
  <si>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</si>
  <si>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</si>
  <si>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</si>
  <si>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</si>
  <si>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</si>
  <si>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</si>
  <si>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</si>
  <si>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</si>
  <si>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</si>
  <si>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</si>
  <si>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</si>
  <si>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</si>
  <si>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</si>
  <si>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</si>
  <si>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</si>
  <si>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</si>
  <si>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</si>
  <si>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</si>
  <si>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</si>
  <si>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</si>
  <si>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</si>
  <si>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</si>
  <si>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</si>
  <si>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</si>
  <si>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</si>
  <si>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</si>
  <si>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</si>
  <si>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</si>
  <si>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</si>
  <si>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</si>
  <si>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</si>
  <si>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</si>
  <si>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</si>
  <si>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</si>
  <si>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</si>
  <si>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</si>
  <si>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</si>
  <si>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</si>
  <si>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</si>
  <si>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</si>
  <si>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</si>
  <si>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</si>
  <si>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</si>
  <si>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</si>
  <si>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</si>
  <si>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</si>
  <si>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</si>
  <si>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</si>
  <si>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</si>
  <si>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</si>
  <si>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</si>
  <si>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</si>
  <si>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</si>
  <si>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</si>
  <si>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</si>
  <si>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</si>
  <si>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</si>
  <si>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</si>
  <si>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</si>
  <si>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</si>
  <si>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</si>
  <si>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</si>
  <si>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</si>
  <si>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</si>
  <si>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</si>
  <si>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</si>
  <si>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</si>
  <si>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</si>
  <si>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</si>
  <si>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</si>
  <si>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</si>
  <si>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</si>
  <si>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</si>
  <si>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</si>
  <si>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</si>
  <si>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</si>
  <si>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</si>
  <si>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</si>
  <si>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</si>
  <si>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</si>
  <si>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</si>
  <si>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</si>
  <si>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</si>
  <si>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</si>
  <si>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</si>
  <si>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</si>
  <si>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</si>
  <si>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</si>
  <si>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</si>
  <si>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</si>
  <si>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</si>
  <si>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</si>
  <si>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</si>
  <si>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</si>
  <si>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</si>
  <si>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</si>
  <si>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</si>
  <si>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</si>
  <si>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</si>
  <si>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</si>
  <si>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</si>
  <si>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</si>
  <si>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</si>
  <si>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</si>
  <si>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</si>
  <si>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</si>
  <si>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</si>
  <si>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</si>
  <si>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</si>
  <si>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</si>
  <si>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</si>
  <si>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</si>
  <si>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</si>
  <si>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</si>
  <si>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</si>
  <si>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</si>
  <si>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</si>
  <si>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</si>
  <si>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</si>
  <si>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</si>
  <si>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</si>
  <si>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</si>
  <si>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</si>
  <si>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</si>
  <si>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</si>
  <si>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</si>
  <si>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</si>
  <si>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</si>
  <si>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</si>
  <si>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</si>
  <si>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</si>
  <si>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</si>
  <si>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</si>
  <si>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</si>
  <si>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</si>
  <si>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</si>
  <si>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</si>
  <si>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</si>
  <si>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</si>
  <si>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</si>
  <si>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</si>
  <si>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</si>
  <si>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</si>
  <si>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</si>
  <si>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</si>
  <si>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</si>
  <si>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</si>
  <si>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</si>
  <si>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</si>
  <si>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</si>
  <si>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</si>
  <si>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</si>
  <si>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</si>
  <si>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</si>
  <si>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</si>
  <si>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</si>
  <si>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</si>
  <si>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</si>
  <si>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</si>
  <si>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</si>
  <si>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</si>
  <si>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</si>
  <si>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</si>
  <si>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</si>
  <si>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</si>
  <si>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</si>
  <si>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</si>
  <si>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</si>
  <si>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</si>
  <si>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</si>
  <si>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</si>
  <si>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</si>
  <si>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</si>
  <si>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</si>
  <si>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</si>
  <si>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</si>
  <si>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</si>
  <si>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</si>
  <si>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</si>
  <si>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</si>
  <si>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</si>
  <si>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</si>
  <si>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</si>
  <si>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</si>
  <si>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</si>
  <si>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</si>
  <si>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</si>
  <si>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</si>
  <si>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</si>
  <si>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</si>
  <si>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</si>
  <si>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</si>
  <si>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</si>
  <si>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</si>
  <si>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</si>
  <si>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</si>
  <si>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</si>
  <si>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</si>
  <si>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</si>
  <si>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</si>
  <si>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</si>
  <si>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</si>
  <si>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</si>
  <si>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</si>
  <si>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</si>
  <si>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</si>
  <si>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</si>
  <si>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</si>
  <si>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</si>
  <si>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</si>
  <si>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</si>
  <si>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</si>
  <si>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</si>
  <si>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</si>
  <si>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</si>
  <si>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</si>
  <si>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</si>
  <si>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</si>
  <si>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</si>
  <si>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</si>
  <si>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</si>
  <si>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</si>
  <si>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</si>
  <si>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</si>
  <si>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</si>
  <si>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</si>
  <si>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</si>
  <si>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</si>
  <si>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</si>
  <si>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</si>
  <si>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</si>
  <si>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</si>
  <si>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</si>
  <si>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</si>
  <si>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</si>
  <si>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</si>
  <si>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</si>
  <si>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</si>
  <si>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</si>
  <si>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</si>
  <si>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</si>
  <si>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</si>
  <si>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</si>
  <si>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</si>
  <si>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</si>
  <si>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</si>
  <si>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</si>
  <si>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</si>
  <si>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</si>
  <si>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</si>
  <si>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</si>
  <si>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</si>
  <si>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</si>
  <si>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</si>
  <si>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</si>
  <si>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</si>
  <si>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</si>
  <si>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</si>
  <si>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</si>
  <si>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</si>
  <si>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</si>
  <si>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</si>
  <si>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</si>
  <si>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</si>
  <si>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</si>
  <si>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</si>
  <si>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</si>
  <si>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</si>
  <si>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</si>
  <si>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</si>
  <si>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</si>
  <si>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</si>
  <si>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</si>
  <si>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</si>
  <si>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</si>
  <si>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</si>
  <si>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</si>
  <si>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</si>
  <si>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</si>
  <si>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</si>
  <si>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</si>
  <si>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</si>
  <si>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</si>
  <si>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</si>
  <si>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</si>
  <si>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</si>
  <si>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</si>
  <si>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</si>
  <si>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</si>
  <si>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</si>
  <si>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</si>
  <si>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</si>
  <si>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</si>
  <si>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</si>
  <si>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</si>
  <si>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</si>
  <si>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</si>
  <si>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</si>
  <si>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</si>
  <si>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</si>
  <si>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</si>
  <si>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</si>
  <si>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</si>
  <si>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</si>
  <si>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</si>
  <si>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</si>
  <si>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</si>
  <si>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</si>
  <si>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</si>
  <si>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</si>
  <si>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</si>
  <si>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</si>
  <si>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</si>
  <si>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</si>
  <si>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</si>
  <si>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</si>
  <si>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</si>
  <si>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</si>
  <si>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</si>
  <si>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</si>
  <si>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</si>
  <si>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</si>
  <si>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</si>
  <si>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</si>
  <si>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</si>
  <si>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</si>
  <si>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</si>
  <si>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</si>
  <si>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</si>
  <si>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</si>
  <si>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</si>
  <si>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</si>
  <si>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</si>
  <si>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</si>
  <si>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</si>
  <si>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</si>
  <si>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</si>
  <si>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</si>
  <si>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</si>
  <si>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</si>
  <si>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</si>
  <si>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</si>
  <si>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</si>
  <si>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</si>
  <si>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</si>
  <si>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</si>
  <si>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</si>
  <si>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</si>
  <si>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</si>
  <si>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</si>
  <si>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</si>
  <si>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</si>
  <si>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</si>
  <si>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</si>
  <si>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</si>
  <si>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</si>
  <si>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</si>
  <si>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</si>
  <si>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</si>
  <si>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</si>
  <si>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</si>
  <si>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</si>
  <si>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</si>
  <si>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</si>
  <si>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</si>
  <si>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</si>
  <si>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</si>
  <si>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</si>
  <si>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</si>
  <si>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</si>
  <si>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</si>
  <si>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</si>
  <si>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</si>
  <si>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</si>
  <si>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</si>
  <si>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</si>
  <si>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</si>
  <si>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</si>
  <si>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</si>
  <si>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</si>
  <si>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</si>
  <si>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</si>
  <si>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</si>
  <si>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</si>
  <si>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</si>
  <si>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</si>
  <si>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</si>
  <si>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</si>
  <si>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</si>
  <si>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</si>
  <si>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</si>
  <si>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</si>
  <si>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</si>
  <si>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</si>
  <si>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</si>
  <si>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</si>
  <si>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</si>
  <si>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</si>
  <si>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</si>
  <si>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</si>
  <si>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</si>
  <si>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</si>
  <si>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</si>
  <si>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</si>
  <si>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</si>
  <si>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</si>
  <si>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</si>
  <si>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</si>
  <si>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</si>
  <si>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</si>
  <si>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</si>
  <si>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</si>
  <si>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</si>
  <si>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</si>
  <si>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</si>
  <si>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</si>
  <si>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</si>
  <si>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</si>
  <si>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</si>
  <si>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</si>
  <si>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</si>
  <si>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</si>
  <si>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</si>
  <si>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</si>
  <si>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</si>
  <si>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</si>
  <si>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</si>
  <si>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</si>
  <si>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</si>
  <si>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</si>
  <si>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</si>
  <si>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</si>
  <si>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</si>
  <si>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</si>
  <si>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</si>
  <si>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</si>
  <si>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</si>
  <si>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</si>
  <si>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</si>
  <si>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</si>
  <si>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</si>
  <si>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</si>
  <si>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</si>
  <si>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</si>
  <si>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</si>
  <si>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</si>
  <si>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</si>
  <si>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</si>
  <si>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</si>
  <si>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</si>
  <si>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</si>
  <si>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</si>
  <si>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</si>
  <si>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</si>
  <si>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</si>
  <si>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</si>
  <si>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</si>
  <si>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</si>
  <si>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</si>
  <si>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</si>
  <si>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</si>
  <si>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</si>
  <si>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</si>
  <si>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</si>
  <si>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</si>
  <si>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</si>
  <si>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</si>
  <si>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</si>
  <si>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</si>
  <si>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</si>
  <si>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</si>
  <si>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</si>
  <si>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</si>
  <si>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</si>
  <si>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</si>
  <si>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</si>
  <si>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</si>
  <si>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</si>
  <si>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</si>
  <si>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</si>
  <si>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</si>
  <si>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</si>
  <si>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</si>
  <si>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</si>
  <si>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</si>
  <si>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</si>
  <si>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</si>
  <si>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</si>
  <si>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</si>
  <si>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</si>
  <si>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</si>
  <si>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</si>
  <si>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</si>
  <si>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</si>
  <si>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</si>
  <si>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</si>
  <si>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</si>
  <si>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</si>
  <si>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</si>
  <si>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</si>
  <si>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</si>
  <si>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</si>
  <si>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</si>
  <si>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</si>
  <si>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</si>
  <si>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</si>
  <si>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</si>
  <si>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</si>
  <si>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</si>
  <si>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</si>
  <si>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</si>
  <si>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</si>
  <si>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</si>
  <si>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</si>
  <si>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</si>
  <si>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</si>
  <si>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</si>
  <si>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</si>
  <si>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</si>
  <si>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</si>
  <si>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</si>
  <si>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</si>
  <si>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</si>
  <si>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</si>
  <si>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</si>
  <si>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</si>
  <si>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</si>
  <si>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</si>
  <si>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</si>
  <si>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</si>
  <si>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</si>
  <si>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</si>
  <si>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</si>
  <si>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</si>
  <si>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</si>
  <si>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</si>
  <si>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</si>
  <si>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</si>
  <si>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</si>
  <si>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</si>
  <si>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</si>
  <si>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</si>
  <si>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</si>
  <si>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</si>
  <si>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</si>
  <si>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</si>
  <si>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</si>
  <si>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</si>
  <si>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</si>
  <si>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</si>
  <si>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</si>
  <si>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</si>
  <si>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</si>
  <si>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</si>
  <si>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</si>
  <si>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</si>
  <si>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</si>
  <si>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</si>
  <si>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</si>
  <si>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</si>
  <si>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</si>
  <si>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</si>
  <si>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</si>
  <si>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</si>
  <si>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</si>
  <si>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</si>
  <si>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</si>
  <si>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</si>
  <si>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</si>
  <si>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</si>
  <si>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</si>
  <si>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</si>
  <si>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</si>
  <si>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</si>
  <si>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</si>
  <si>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</si>
  <si>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</si>
  <si>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</si>
  <si>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</si>
  <si>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</si>
  <si>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</si>
  <si>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</si>
  <si>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</si>
  <si>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</si>
  <si>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</si>
  <si>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</si>
  <si>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</si>
  <si>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</si>
  <si>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</si>
  <si>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</si>
  <si>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</si>
  <si>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</si>
  <si>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</si>
  <si>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</si>
  <si>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</si>
  <si>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</si>
  <si>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</si>
  <si>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</si>
  <si>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</si>
  <si>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</si>
  <si>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</si>
  <si>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</si>
  <si>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</si>
  <si>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</si>
  <si>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</si>
  <si>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</si>
  <si>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</si>
  <si>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</si>
  <si>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</si>
  <si>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</si>
  <si>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</si>
  <si>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</si>
  <si>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</si>
  <si>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</si>
  <si>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</si>
  <si>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</si>
  <si>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</si>
  <si>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</si>
  <si>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</si>
  <si>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</si>
  <si>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</si>
  <si>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</si>
  <si>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</si>
  <si>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</si>
  <si>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</si>
  <si>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</si>
  <si>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</si>
  <si>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</si>
  <si>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</si>
  <si>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</si>
  <si>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</si>
  <si>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</si>
  <si>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</si>
  <si>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</si>
  <si>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</si>
  <si>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</si>
  <si>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</si>
  <si>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</si>
  <si>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</si>
  <si>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</si>
  <si>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</si>
  <si>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</si>
  <si>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</si>
  <si>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</si>
  <si>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</si>
  <si>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</si>
  <si>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</si>
  <si>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</si>
  <si>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</si>
  <si>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</si>
  <si>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</si>
  <si>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</si>
  <si>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</si>
  <si>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</si>
  <si>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</si>
  <si>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</si>
  <si>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</si>
  <si>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</si>
  <si>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</si>
  <si>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</si>
  <si>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</si>
  <si>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</si>
  <si>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</si>
  <si>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</si>
  <si>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</si>
  <si>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</si>
  <si>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</si>
  <si>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</si>
  <si>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</si>
  <si>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</si>
  <si>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</si>
  <si>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</si>
  <si>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</si>
  <si>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</si>
  <si>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</si>
  <si>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</si>
  <si>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</si>
  <si>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</si>
  <si>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</si>
  <si>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</si>
  <si>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</si>
  <si>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</si>
  <si>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</si>
  <si>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</si>
  <si>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</si>
  <si>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</si>
  <si>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</si>
  <si>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</si>
  <si>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</si>
  <si>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</si>
  <si>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</si>
  <si>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</si>
  <si>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</si>
  <si>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</si>
  <si>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</si>
  <si>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</si>
  <si>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</si>
  <si>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</si>
  <si>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</si>
  <si>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</si>
  <si>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</si>
  <si>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</si>
  <si>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</si>
  <si>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</si>
  <si>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</si>
  <si>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</si>
  <si>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</si>
  <si>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</si>
  <si>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</si>
  <si>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</si>
  <si>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</si>
  <si>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</si>
  <si>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</si>
  <si>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</si>
  <si>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</si>
  <si>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</si>
  <si>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</si>
  <si>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</si>
  <si>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</si>
  <si>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</si>
  <si>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</si>
  <si>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</si>
  <si>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</si>
  <si>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</si>
  <si>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</si>
  <si>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</si>
  <si>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</si>
  <si>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</si>
  <si>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</si>
  <si>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</si>
  <si>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</si>
  <si>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</si>
  <si>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</si>
  <si>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</si>
  <si>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</si>
  <si>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</si>
  <si>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</si>
  <si>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</si>
  <si>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</si>
  <si>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</si>
  <si>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</si>
  <si>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</si>
  <si>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</si>
  <si>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</si>
  <si>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</si>
  <si>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</si>
  <si>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</si>
  <si>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</si>
  <si>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</si>
  <si>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</si>
  <si>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</si>
  <si>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</si>
  <si>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</si>
  <si>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</si>
  <si>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</si>
  <si>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</si>
  <si>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</si>
  <si>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</si>
  <si>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</si>
  <si>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</si>
  <si>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</si>
  <si>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</si>
  <si>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</si>
  <si>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</si>
  <si>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</si>
  <si>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</si>
  <si>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</si>
  <si>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</si>
  <si>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</si>
  <si>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</si>
  <si>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</si>
  <si>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</si>
  <si>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</si>
  <si>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</si>
  <si>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</si>
  <si>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</si>
  <si>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</si>
  <si>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</si>
  <si>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</si>
  <si>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</si>
  <si>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</si>
  <si>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</si>
  <si>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</si>
  <si>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</si>
  <si>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</si>
  <si>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</si>
  <si>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</si>
  <si>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</si>
  <si>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</si>
  <si>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</si>
  <si>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</si>
  <si>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</si>
  <si>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</si>
  <si>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</si>
  <si>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</si>
  <si>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</si>
  <si>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</si>
  <si>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</si>
  <si>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</si>
  <si>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</si>
  <si>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</si>
  <si>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</si>
  <si>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</si>
  <si>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</si>
  <si>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</si>
  <si>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</si>
  <si>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</si>
  <si>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</si>
  <si>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</si>
  <si>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</si>
  <si>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</si>
  <si>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</si>
  <si>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</si>
  <si>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</si>
  <si>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</si>
  <si>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</si>
  <si>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</si>
  <si>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</si>
  <si>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</si>
  <si>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</si>
  <si>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</si>
  <si>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</si>
  <si>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</si>
  <si>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</si>
  <si>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</si>
  <si>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</si>
  <si>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</si>
  <si>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</si>
  <si>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</si>
  <si>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</si>
  <si>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</si>
  <si>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</si>
  <si>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</si>
  <si>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</si>
  <si>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</si>
  <si>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</si>
  <si>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</si>
  <si>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</si>
  <si>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</si>
  <si>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</si>
  <si>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</si>
  <si>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</si>
  <si>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</si>
  <si>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</si>
  <si>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</si>
  <si>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</si>
  <si>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</si>
  <si>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</si>
  <si>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</si>
  <si>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</si>
  <si>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</si>
  <si>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</si>
  <si>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</si>
  <si>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</si>
  <si>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</si>
  <si>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</si>
  <si>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</si>
  <si>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</si>
  <si>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</si>
  <si>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</si>
  <si>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</si>
  <si>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</si>
  <si>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</si>
  <si>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</si>
  <si>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</si>
  <si>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</si>
  <si>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</si>
  <si>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</si>
  <si>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</si>
  <si>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</si>
  <si>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</si>
  <si>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</si>
  <si>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</si>
  <si>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</si>
  <si>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</si>
  <si>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</si>
  <si>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</si>
  <si>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</si>
  <si>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</si>
  <si>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</si>
  <si>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</si>
  <si>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</si>
  <si>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</si>
  <si>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</si>
  <si>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</si>
  <si>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</si>
  <si>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</si>
  <si>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</si>
  <si>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</si>
  <si>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</si>
  <si>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</si>
  <si>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</si>
  <si>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</si>
  <si>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</si>
  <si>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</si>
  <si>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</si>
  <si>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</si>
  <si>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</si>
  <si>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</si>
  <si>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</si>
  <si>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</si>
  <si>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</si>
  <si>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</si>
  <si>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</si>
  <si>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</si>
  <si>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</si>
  <si>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</si>
  <si>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</si>
  <si>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</si>
  <si>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</si>
  <si>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</si>
  <si>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</si>
  <si>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</si>
  <si>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</si>
  <si>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</si>
  <si>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</si>
  <si>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</si>
  <si>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</si>
  <si>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</si>
  <si>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</si>
  <si>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</si>
  <si>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</si>
  <si>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</si>
  <si>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</si>
  <si>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</si>
  <si>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</si>
  <si>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</si>
  <si>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</si>
  <si>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</si>
  <si>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</si>
  <si>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</si>
  <si>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</si>
  <si>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</si>
  <si>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</si>
  <si>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</si>
  <si>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</si>
  <si>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</si>
  <si>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</si>
  <si>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</si>
  <si>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</si>
  <si>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</si>
  <si>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</si>
  <si>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</si>
  <si>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</si>
  <si>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</si>
  <si>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</si>
  <si>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</si>
  <si>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</si>
  <si>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</si>
  <si>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</si>
  <si>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</si>
  <si>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</si>
  <si>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</si>
  <si>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</si>
  <si>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</si>
  <si>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</si>
  <si>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</si>
  <si>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</si>
  <si>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</si>
  <si>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</si>
  <si>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</si>
  <si>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</si>
  <si>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</si>
  <si>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</si>
  <si>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</si>
  <si>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</si>
  <si>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</si>
  <si>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</si>
  <si>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</si>
  <si>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</si>
  <si>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</si>
  <si>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</si>
  <si>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</si>
  <si>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</si>
  <si>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</si>
  <si>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</si>
  <si>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</si>
  <si>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</si>
  <si>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</si>
  <si>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</si>
  <si>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</si>
  <si>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</si>
  <si>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</si>
  <si>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</si>
  <si>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</si>
  <si>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</si>
  <si>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</si>
  <si>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</si>
  <si>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</si>
  <si>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</si>
  <si>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</si>
  <si>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</si>
  <si>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</si>
  <si>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</si>
  <si>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</si>
  <si>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</si>
  <si>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</si>
  <si>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</si>
  <si>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</si>
  <si>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</si>
  <si>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</si>
  <si>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</si>
  <si>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</si>
  <si>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</si>
  <si>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</si>
  <si>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</si>
  <si>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</si>
  <si>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</si>
  <si>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</si>
  <si>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</si>
  <si>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</si>
  <si>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</si>
  <si>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</si>
  <si>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</si>
  <si>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</si>
  <si>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</si>
  <si>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</si>
  <si>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</si>
  <si>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</si>
  <si>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</si>
  <si>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</si>
  <si>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</si>
  <si>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</si>
  <si>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</si>
  <si>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</si>
  <si>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</si>
  <si>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</si>
  <si>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</si>
  <si>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</si>
  <si>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</si>
  <si>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</si>
  <si>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</si>
  <si>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</si>
  <si>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</si>
  <si>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</si>
  <si>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</si>
  <si>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</si>
  <si>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</si>
  <si>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</si>
  <si>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</si>
  <si>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</si>
  <si>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</si>
  <si>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</si>
  <si>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</si>
  <si>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</si>
  <si>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</si>
  <si>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</si>
  <si>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</si>
  <si>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</si>
  <si>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</si>
  <si>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</si>
  <si>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</si>
  <si>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</si>
  <si>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</si>
  <si>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</si>
  <si>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</si>
  <si>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</si>
  <si>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</si>
  <si>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</si>
  <si>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</si>
  <si>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</si>
  <si>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</si>
  <si>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</si>
  <si>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</si>
  <si>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</si>
  <si>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</si>
  <si>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</si>
  <si>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</si>
  <si>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</si>
  <si>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</si>
  <si>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</si>
  <si>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</si>
  <si>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</si>
  <si>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</si>
  <si>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</si>
  <si>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</si>
  <si>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</si>
  <si>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</si>
  <si>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</si>
  <si>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</si>
  <si>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</si>
  <si>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</si>
  <si>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</si>
  <si>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</si>
  <si>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</si>
  <si>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</si>
  <si>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</si>
  <si>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</si>
  <si>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</si>
  <si>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</si>
  <si>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</si>
  <si>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</si>
  <si>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</si>
  <si>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</si>
  <si>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</si>
  <si>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</si>
  <si>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</si>
  <si>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</si>
  <si>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</si>
  <si>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</si>
  <si>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</si>
  <si>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</si>
  <si>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</si>
  <si>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</si>
  <si>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</si>
  <si>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</si>
  <si>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</si>
  <si>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</si>
  <si>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</si>
  <si>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</si>
  <si>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</si>
  <si>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</si>
  <si>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</si>
  <si>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</si>
  <si>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</si>
  <si>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</si>
  <si>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</si>
  <si>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</si>
  <si>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</si>
  <si>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</si>
  <si>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</si>
  <si>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</si>
  <si>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</si>
  <si>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</si>
  <si>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</si>
  <si>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</si>
  <si>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</si>
  <si>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</si>
  <si>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</si>
  <si>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</si>
  <si>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</si>
  <si>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</si>
  <si>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</si>
  <si>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</si>
  <si>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</si>
  <si>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</si>
  <si>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</si>
  <si>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</si>
  <si>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</si>
  <si>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</si>
  <si>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</si>
  <si>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</si>
  <si>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</si>
  <si>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</si>
  <si>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</si>
  <si>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</si>
  <si>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</si>
  <si>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</si>
  <si>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</si>
  <si>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</si>
  <si>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</si>
  <si>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</si>
  <si>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</si>
  <si>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</si>
  <si>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</si>
  <si>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</si>
  <si>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</si>
  <si>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</si>
  <si>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</si>
  <si>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</si>
  <si>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</si>
  <si>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</si>
  <si>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</si>
  <si>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</si>
  <si>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</si>
  <si>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</si>
  <si>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</si>
  <si>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</si>
  <si>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</si>
  <si>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</si>
  <si>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</si>
  <si>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</si>
  <si>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</si>
  <si>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</si>
  <si>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</si>
  <si>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</si>
  <si>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</si>
  <si>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</si>
  <si>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</si>
  <si>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</si>
  <si>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</si>
  <si>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</si>
  <si>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</si>
  <si>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</si>
  <si>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</si>
  <si>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</si>
  <si>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</si>
  <si>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</si>
  <si>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</si>
  <si>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</si>
  <si>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</si>
  <si>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</si>
  <si>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</si>
  <si>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</si>
  <si>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</si>
  <si>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</si>
  <si>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</si>
  <si>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</si>
  <si>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</si>
  <si>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</si>
  <si>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</si>
  <si>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</si>
  <si>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</si>
  <si>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</si>
  <si>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</si>
  <si>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</si>
  <si>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</si>
  <si>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</si>
  <si>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</si>
  <si>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</si>
  <si>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</si>
  <si>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</si>
  <si>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</si>
  <si>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</si>
  <si>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</si>
  <si>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</si>
  <si>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</si>
  <si>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</si>
  <si>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</si>
  <si>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</si>
  <si>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</si>
  <si>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</si>
  <si>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</si>
  <si>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</si>
  <si>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</si>
  <si>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</si>
  <si>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</si>
  <si>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</si>
  <si>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</si>
  <si>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</si>
  <si>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</si>
  <si>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</si>
  <si>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</si>
  <si>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</si>
  <si>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</si>
  <si>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</si>
  <si>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</si>
  <si>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</si>
  <si>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</si>
  <si>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</si>
  <si>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</si>
  <si>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</si>
  <si>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</si>
  <si>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</si>
  <si>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</si>
  <si>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</si>
  <si>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</si>
  <si>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</si>
  <si>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</si>
  <si>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</si>
  <si>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</si>
  <si>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</si>
  <si>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</si>
  <si>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</si>
  <si>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</si>
  <si>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</si>
  <si>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</si>
  <si>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</si>
  <si>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</si>
  <si>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</si>
  <si>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</si>
  <si>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</si>
  <si>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</si>
  <si>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</si>
  <si>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</si>
  <si>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</si>
  <si>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</si>
  <si>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</si>
  <si>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</si>
  <si>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</si>
  <si>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</si>
  <si>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</si>
  <si>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</si>
  <si>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</si>
  <si>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</si>
  <si>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</si>
  <si>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</si>
  <si>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</si>
  <si>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</si>
  <si>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</si>
  <si>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</si>
  <si>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</si>
  <si>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</si>
  <si>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</si>
  <si>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</si>
  <si>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</si>
  <si>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</si>
  <si>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</si>
  <si>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</si>
  <si>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</si>
  <si>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</si>
  <si>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</si>
  <si>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</si>
  <si>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</si>
  <si>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</si>
  <si>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</si>
  <si>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</si>
  <si>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</si>
  <si>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</si>
  <si>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</si>
  <si>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</si>
  <si>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</si>
  <si>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</si>
  <si>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</si>
  <si>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</si>
  <si>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</si>
  <si>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</si>
  <si>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</si>
  <si>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</si>
  <si>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</si>
  <si>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</si>
  <si>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</si>
  <si>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</si>
  <si>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</si>
  <si>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</si>
  <si>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</si>
  <si>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</si>
  <si>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</si>
  <si>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</si>
  <si>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</si>
  <si>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</si>
  <si>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</si>
  <si>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</si>
  <si>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</si>
  <si>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</si>
  <si>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</si>
  <si>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</si>
  <si>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</si>
  <si>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</si>
  <si>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</si>
  <si>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</si>
  <si>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</si>
  <si>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</si>
  <si>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</si>
  <si>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</si>
  <si>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</si>
  <si>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</si>
  <si>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</si>
  <si>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</si>
  <si>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</si>
  <si>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</si>
  <si>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</si>
  <si>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</si>
  <si>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</si>
  <si>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</si>
  <si>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</si>
  <si>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</si>
  <si>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</si>
  <si>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</si>
  <si>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</si>
  <si>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</si>
  <si>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</si>
  <si>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</si>
  <si>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</si>
  <si>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</si>
  <si>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</si>
  <si>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</si>
  <si>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</si>
  <si>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</si>
  <si>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</si>
  <si>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</si>
  <si>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</si>
  <si>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</si>
  <si>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</si>
  <si>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</si>
  <si>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</si>
  <si>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</si>
  <si>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</si>
  <si>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</si>
  <si>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</si>
  <si>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</si>
  <si>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</si>
  <si>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</si>
  <si>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</si>
  <si>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</si>
  <si>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</si>
  <si>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</si>
  <si>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</si>
  <si>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</si>
  <si>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</si>
  <si>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</si>
  <si>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</si>
  <si>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</si>
  <si>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</si>
  <si>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</si>
  <si>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</si>
  <si>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</si>
  <si>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</si>
  <si>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</si>
  <si>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</si>
  <si>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</si>
  <si>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</si>
  <si>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</si>
  <si>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</si>
  <si>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</si>
  <si>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</si>
  <si>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</si>
  <si>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</si>
  <si>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</si>
  <si>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</si>
  <si>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</si>
  <si>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</si>
  <si>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</si>
  <si>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</si>
  <si>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</si>
  <si>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</si>
  <si>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</si>
  <si>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</si>
  <si>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</si>
  <si>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</si>
  <si>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</si>
  <si>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</si>
  <si>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</si>
  <si>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</si>
  <si>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</si>
  <si>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</si>
  <si>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</si>
  <si>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</si>
  <si>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</si>
  <si>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</si>
  <si>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</si>
  <si>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</si>
  <si>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</si>
  <si>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</si>
  <si>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</si>
  <si>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</si>
  <si>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</si>
  <si>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</si>
  <si>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</si>
  <si>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</si>
  <si>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</si>
  <si>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</si>
  <si>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</si>
  <si>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</si>
  <si>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</si>
  <si>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</si>
  <si>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</si>
  <si>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</si>
  <si>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</si>
  <si>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</si>
  <si>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</si>
  <si>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</si>
  <si>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</si>
  <si>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</si>
  <si>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</si>
  <si>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</si>
  <si>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</si>
  <si>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</si>
  <si>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</si>
  <si>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</si>
  <si>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</si>
  <si>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</si>
  <si>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</si>
  <si>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</si>
  <si>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</si>
  <si>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</si>
  <si>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</si>
  <si>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</si>
  <si>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</si>
  <si>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</si>
  <si>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</si>
  <si>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</si>
  <si>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</si>
  <si>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</si>
  <si>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</si>
  <si>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</si>
  <si>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</si>
  <si>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</si>
  <si>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</si>
  <si>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</si>
  <si>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</si>
  <si>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</si>
  <si>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</si>
  <si>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</si>
  <si>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</si>
  <si>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</si>
  <si>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</si>
  <si>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</si>
  <si>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</si>
  <si>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</si>
  <si>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</si>
  <si>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</si>
  <si>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</si>
  <si>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</si>
  <si>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</si>
  <si>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</si>
  <si>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</si>
  <si>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</si>
  <si>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</si>
  <si>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</si>
  <si>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</si>
  <si>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</si>
  <si>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</si>
  <si>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</si>
  <si>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</si>
  <si>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</si>
  <si>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</si>
  <si>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</si>
  <si>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</si>
  <si>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</si>
  <si>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</si>
  <si>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</si>
  <si>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</si>
  <si>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</si>
  <si>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</si>
  <si>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</si>
  <si>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</si>
  <si>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</si>
  <si>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</si>
  <si>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</si>
  <si>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</si>
  <si>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</si>
  <si>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</si>
  <si>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</si>
  <si>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</si>
  <si>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</si>
  <si>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</si>
  <si>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</si>
  <si>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</si>
  <si>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</si>
  <si>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</si>
  <si>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</si>
  <si>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</si>
  <si>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</si>
  <si>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</si>
  <si>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</si>
  <si>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</si>
  <si>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</si>
  <si>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</si>
  <si>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</si>
  <si>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</si>
  <si>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</si>
  <si>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</si>
  <si>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</si>
  <si>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</si>
  <si>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</si>
  <si>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</si>
  <si>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</si>
  <si>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</si>
  <si>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</si>
  <si>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</si>
  <si>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</si>
  <si>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</si>
  <si>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</si>
  <si>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</si>
  <si>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</si>
  <si>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</si>
  <si>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</si>
  <si>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</si>
  <si>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</si>
  <si>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</si>
  <si>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</si>
  <si>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</si>
  <si>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</si>
  <si>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</si>
  <si>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</si>
  <si>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</si>
  <si>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</si>
  <si>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</si>
  <si>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</si>
  <si>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</si>
  <si>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</si>
  <si>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</si>
  <si>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</si>
  <si>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</si>
  <si>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</si>
  <si>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</si>
  <si>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</si>
  <si>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</si>
  <si>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</si>
  <si>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</si>
  <si>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</si>
  <si>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</si>
  <si>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</si>
  <si>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</si>
  <si>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</si>
  <si>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</si>
  <si>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</si>
  <si>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</si>
  <si>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</si>
  <si>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</si>
  <si>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</si>
  <si>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</si>
  <si>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</si>
  <si>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</si>
  <si>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</si>
  <si>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</si>
  <si>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</si>
  <si>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</si>
  <si>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</si>
  <si>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</si>
  <si>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</si>
  <si>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</si>
  <si>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</si>
  <si>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</si>
  <si>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</si>
  <si>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</si>
  <si>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</si>
  <si>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</si>
  <si>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</si>
  <si>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</si>
  <si>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</si>
  <si>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</si>
  <si>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</si>
  <si>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</si>
  <si>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</si>
  <si>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</si>
  <si>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</si>
  <si>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</si>
  <si>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</si>
  <si>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</si>
  <si>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</si>
  <si>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</si>
  <si>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</si>
  <si>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</si>
  <si>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</si>
  <si>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</si>
  <si>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</si>
  <si>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</si>
  <si>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</si>
  <si>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</si>
  <si>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</si>
  <si>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</si>
  <si>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</si>
  <si>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</si>
  <si>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</si>
  <si>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</si>
  <si>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</si>
  <si>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</si>
  <si>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</si>
  <si>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</si>
  <si>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</si>
  <si>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</si>
  <si>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</si>
  <si>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</si>
  <si>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</si>
  <si>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</si>
  <si>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</si>
  <si>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</si>
  <si>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</si>
  <si>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</si>
  <si>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</si>
  <si>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</si>
  <si>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</si>
  <si>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</si>
  <si>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</si>
  <si>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</si>
  <si>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</si>
  <si>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</si>
  <si>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</si>
  <si>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</si>
  <si>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</si>
  <si>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</si>
  <si>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</si>
  <si>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</si>
  <si>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</si>
  <si>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</si>
  <si>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</si>
  <si>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</si>
  <si>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</si>
  <si>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</si>
  <si>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</si>
  <si>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</si>
  <si>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</si>
  <si>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</si>
  <si>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</si>
  <si>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</si>
  <si>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</si>
  <si>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</si>
  <si>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</si>
  <si>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</si>
  <si>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</si>
  <si>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</si>
  <si>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</si>
  <si>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</si>
  <si>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</si>
  <si>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</si>
  <si>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</si>
  <si>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</si>
  <si>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</si>
  <si>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</si>
  <si>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</si>
  <si>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</si>
  <si>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</si>
  <si>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</si>
  <si>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</si>
  <si>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</si>
  <si>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</si>
  <si>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</si>
  <si>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</si>
  <si>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</si>
  <si>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</si>
  <si>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</si>
  <si>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</si>
  <si>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</si>
  <si>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</si>
  <si>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</si>
  <si>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</si>
  <si>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</si>
  <si>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</si>
  <si>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</si>
  <si>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</si>
  <si>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</si>
  <si>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</si>
  <si>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</si>
  <si>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</si>
  <si>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</si>
  <si>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r>
      <t>boneless, skin-</t>
    </r>
    <r>
      <rPr>
        <b/>
        <i/>
        <sz val="14"/>
        <color theme="0" tint="-0.34998626667073579"/>
        <rFont val="Calibri"/>
        <family val="2"/>
      </rPr>
      <t>on</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</si>
  <si>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</si>
  <si>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t>Whole Chicken</t>
  </si>
  <si>
    <r>
      <t xml:space="preserve">Chicken Frankfurter </t>
    </r>
    <r>
      <rPr>
        <i/>
        <sz val="30"/>
        <color theme="0" tint="-0.499984740745262"/>
        <rFont val="Calibri"/>
        <family val="2"/>
        <scheme val="minor"/>
      </rPr>
      <t>Premium</t>
    </r>
  </si>
  <si>
    <r>
      <t xml:space="preserve">Stuff immediately into </t>
    </r>
    <r>
      <rPr>
        <b/>
        <sz val="14"/>
        <color rgb="FF3D3D3F"/>
        <rFont val="Calibri"/>
        <family val="2"/>
        <scheme val="minor"/>
      </rPr>
      <t>Natural Sheep Casings or Cellulose Casings</t>
    </r>
    <r>
      <rPr>
        <sz val="14"/>
        <color rgb="FF3D3D3F"/>
        <rFont val="Calibri"/>
        <family val="2"/>
        <scheme val="minor"/>
      </rPr>
      <t xml:space="preserve">.
</t>
    </r>
    <r>
      <rPr>
        <i/>
        <sz val="14"/>
        <color rgb="FF3D3D3F"/>
        <rFont val="Calibri"/>
        <family val="2"/>
        <scheme val="minor"/>
      </rPr>
      <t>Cal. 19/21 is recommended, cal 26 for Jumbo Hot Dogs.</t>
    </r>
  </si>
  <si>
    <t>www.fiRecipes.com/ChickenHotDog</t>
  </si>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</sst>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b/>
      <i/>
      <sz val="14"/>
      <color theme="0" tint="-0.34998626667073579"/>
      <name val="Calibri"/>
      <family val="2"/>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49" fontId="135" fillId="9" borderId="0" xfId="0" applyNumberFormat="1" applyFont="1" applyFill="1" applyAlignment="1">
      <alignment vertical="center"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3" fontId="94" fillId="18" borderId="0" xfId="0" applyNumberFormat="1" applyFont="1" applyFill="1" applyAlignment="1">
      <alignment horizontal="center" vertical="center" wrapText="1"/>
    </xf>
    <xf numFmtId="0" fontId="106" fillId="17" borderId="0" xfId="0" applyFont="1" applyFill="1" applyAlignment="1">
      <alignment horizontal="left" vertical="top" wrapText="1"/>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3" fontId="36" fillId="0" borderId="0" xfId="0" applyNumberFormat="1" applyFont="1" applyAlignment="1">
      <alignment horizontal="left"/>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12" fillId="9" borderId="0" xfId="0" applyNumberFormat="1" applyFont="1" applyFill="1" applyAlignment="1">
      <alignment horizontal="left" vertical="top"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3" fontId="38" fillId="3" borderId="65" xfId="0" applyNumberFormat="1" applyFont="1" applyFill="1" applyBorder="1" applyAlignment="1">
      <alignment horizontal="left" vertical="center"/>
    </xf>
    <xf numFmtId="49" fontId="25" fillId="3" borderId="0" xfId="0" applyNumberFormat="1" applyFont="1" applyFill="1" applyAlignment="1">
      <alignment horizontal="left" vertical="center"/>
    </xf>
    <xf numFmtId="0" fontId="41" fillId="0" borderId="0" xfId="0" applyFont="1" applyAlignment="1">
      <alignment horizontal="left"/>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3" fontId="39" fillId="3" borderId="65" xfId="0" applyNumberFormat="1" applyFont="1" applyFill="1" applyBorder="1" applyAlignment="1">
      <alignment horizontal="left" vertical="center"/>
    </xf>
    <xf numFmtId="49" fontId="44" fillId="18" borderId="0" xfId="0" applyNumberFormat="1" applyFont="1" applyFill="1" applyAlignment="1">
      <alignment horizontal="center"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49" fontId="23" fillId="3" borderId="0" xfId="0" applyNumberFormat="1" applyFont="1" applyFill="1" applyAlignment="1">
      <alignment horizontal="left"/>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9" fillId="5" borderId="0" xfId="0" applyFont="1" applyFill="1" applyAlignment="1">
      <alignment horizontal="center" wrapText="1"/>
    </xf>
    <xf numFmtId="0" fontId="66"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8">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1016000</xdr:colOff>
      <xdr:row>0</xdr:row>
      <xdr:rowOff>0</xdr:rowOff>
    </xdr:from>
    <xdr:to>
      <xdr:col>14</xdr:col>
      <xdr:colOff>309858</xdr:colOff>
      <xdr:row>9</xdr:row>
      <xdr:rowOff>127000</xdr:rowOff>
    </xdr:to>
    <xdr:pic>
      <xdr:nvPicPr>
        <xdr:cNvPr id="4" name="Grafik 3">
          <a:extLst>
            <a:ext uri="{FF2B5EF4-FFF2-40B4-BE49-F238E27FC236}">
              <a16:creationId xmlns:a16="http://schemas.microsoft.com/office/drawing/2014/main" id="{3F6CA5DD-DFD8-5C4B-98FC-A91726AACBA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255" t="8333" r="6700" b="6128"/>
        <a:stretch/>
      </xdr:blipFill>
      <xdr:spPr>
        <a:xfrm>
          <a:off x="6769100" y="0"/>
          <a:ext cx="3573758" cy="251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ChickenHotDog"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6"/>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5.33203125" style="6" bestFit="1"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42"/>
      <c r="K1" s="442"/>
      <c r="L1" s="442"/>
      <c r="M1" s="442"/>
      <c r="N1" s="442"/>
      <c r="O1" s="12"/>
      <c r="P1" s="12"/>
    </row>
    <row r="2" spans="2:24" ht="19" customHeight="1" x14ac:dyDescent="0.2">
      <c r="J2" s="442"/>
      <c r="K2" s="442"/>
      <c r="L2" s="442"/>
      <c r="M2" s="442"/>
      <c r="N2" s="442"/>
      <c r="O2" s="12"/>
      <c r="P2" s="12"/>
    </row>
    <row r="3" spans="2:24" ht="19" customHeight="1" x14ac:dyDescent="0.2">
      <c r="J3" s="442"/>
      <c r="K3" s="442"/>
      <c r="L3" s="442"/>
      <c r="M3" s="442"/>
      <c r="N3" s="442"/>
      <c r="O3" s="12"/>
      <c r="P3" s="12"/>
    </row>
    <row r="4" spans="2:24" ht="19" customHeight="1" x14ac:dyDescent="0.2">
      <c r="J4" s="442"/>
      <c r="K4" s="442"/>
      <c r="L4" s="442"/>
      <c r="M4" s="442"/>
      <c r="N4" s="442"/>
      <c r="O4" s="12"/>
      <c r="P4" s="12"/>
    </row>
    <row r="5" spans="2:24" ht="19" customHeight="1" x14ac:dyDescent="0.2">
      <c r="J5" s="442"/>
      <c r="K5" s="442"/>
      <c r="L5" s="442"/>
      <c r="M5" s="442"/>
      <c r="N5" s="442"/>
      <c r="O5" s="12"/>
      <c r="P5" s="12"/>
    </row>
    <row r="6" spans="2:24" ht="19" customHeight="1" x14ac:dyDescent="0.2">
      <c r="J6" s="442"/>
      <c r="K6" s="442"/>
      <c r="L6" s="442"/>
      <c r="M6" s="442"/>
      <c r="N6" s="442"/>
      <c r="O6" s="12"/>
      <c r="P6" s="12"/>
    </row>
    <row r="7" spans="2:24" ht="19" customHeight="1" x14ac:dyDescent="0.2">
      <c r="J7" s="442"/>
      <c r="K7" s="442"/>
      <c r="L7" s="442"/>
      <c r="M7" s="442"/>
      <c r="N7" s="442"/>
      <c r="O7" s="14"/>
      <c r="P7" s="14"/>
      <c r="R7" t="s">
        <v>186</v>
      </c>
    </row>
    <row r="8" spans="2:24" ht="39" customHeight="1" x14ac:dyDescent="0.45">
      <c r="B8" s="452" t="s">
        <v>3235</v>
      </c>
      <c r="C8" s="452"/>
      <c r="D8" s="452"/>
      <c r="E8" s="452"/>
      <c r="F8" s="452"/>
      <c r="G8" s="452"/>
      <c r="H8" s="452"/>
      <c r="I8" s="452"/>
      <c r="J8" s="452"/>
      <c r="K8" s="350"/>
      <c r="L8" s="353"/>
      <c r="M8" s="353"/>
      <c r="N8" s="354"/>
      <c r="O8" s="354"/>
      <c r="P8" s="438" t="s">
        <v>3162</v>
      </c>
      <c r="Q8" s="438"/>
      <c r="R8" s="438"/>
      <c r="S8" s="438"/>
    </row>
    <row r="9" spans="2:24" ht="19" customHeight="1" x14ac:dyDescent="0.45">
      <c r="B9" s="441" t="s">
        <v>3237</v>
      </c>
      <c r="C9" s="441"/>
      <c r="D9" s="441"/>
      <c r="E9" s="441"/>
      <c r="F9" s="441"/>
      <c r="G9" s="441"/>
      <c r="H9" s="441"/>
      <c r="I9" s="441"/>
      <c r="J9" s="350"/>
      <c r="K9" s="350"/>
      <c r="L9" s="351"/>
      <c r="M9" s="351"/>
      <c r="N9" s="352"/>
      <c r="O9" s="352"/>
      <c r="P9" s="438"/>
      <c r="Q9" s="438"/>
      <c r="R9" s="438"/>
      <c r="S9" s="438"/>
    </row>
    <row r="10" spans="2:24" s="1" customFormat="1" ht="25" customHeight="1" thickBot="1" x14ac:dyDescent="0.3">
      <c r="B10" s="463" t="s">
        <v>3169</v>
      </c>
      <c r="C10" s="463"/>
      <c r="D10" s="463"/>
      <c r="E10" s="463"/>
      <c r="F10" s="463"/>
      <c r="G10" s="463"/>
      <c r="H10" s="463"/>
      <c r="I10" s="463"/>
      <c r="J10" s="463"/>
      <c r="K10" s="463"/>
      <c r="L10" s="463"/>
      <c r="M10" s="463"/>
      <c r="N10" s="463"/>
      <c r="O10" s="463"/>
      <c r="P10" s="460" t="s">
        <v>3183</v>
      </c>
      <c r="Q10" s="461"/>
      <c r="R10" s="461"/>
      <c r="S10" s="461"/>
      <c r="T10" s="263"/>
      <c r="U10" s="263"/>
      <c r="V10" s="263"/>
    </row>
    <row r="11" spans="2:24" s="7" customFormat="1" ht="27" customHeight="1" x14ac:dyDescent="0.25">
      <c r="B11" s="449" t="s">
        <v>37</v>
      </c>
      <c r="C11" s="449"/>
      <c r="D11" s="449"/>
      <c r="E11" s="449"/>
      <c r="F11" s="449"/>
      <c r="G11" s="449"/>
      <c r="H11" s="449"/>
      <c r="I11" s="449"/>
      <c r="J11" s="449"/>
      <c r="K11" s="362"/>
      <c r="L11" s="193">
        <f>SUM(L12:L12)</f>
        <v>1</v>
      </c>
      <c r="M11" s="193"/>
      <c r="N11" s="177">
        <v>100</v>
      </c>
      <c r="O11" s="194" t="s">
        <v>0</v>
      </c>
      <c r="P11" s="462" t="s">
        <v>3197</v>
      </c>
      <c r="Q11" s="462"/>
      <c r="R11" s="462" t="s">
        <v>3066</v>
      </c>
      <c r="S11" s="462"/>
      <c r="T11" s="386"/>
      <c r="U11" s="263"/>
      <c r="V11" s="263"/>
      <c r="W11" s="1"/>
      <c r="X11" s="1"/>
    </row>
    <row r="12" spans="2:24" s="1" customFormat="1" ht="21" x14ac:dyDescent="0.25">
      <c r="B12" s="464" t="s">
        <v>3234</v>
      </c>
      <c r="C12" s="464"/>
      <c r="D12" s="464"/>
      <c r="E12" s="464"/>
      <c r="F12" s="464"/>
      <c r="G12" s="464"/>
      <c r="H12" s="464"/>
      <c r="I12" s="464"/>
      <c r="J12" s="15" t="s">
        <v>3232</v>
      </c>
      <c r="K12" s="15"/>
      <c r="L12" s="16">
        <v>1</v>
      </c>
      <c r="M12" s="16"/>
      <c r="N12" s="17">
        <f>IF(L12&lt;&gt;0,Meat*L12,"0,00")</f>
        <v>100</v>
      </c>
      <c r="O12" s="18" t="str">
        <f>IF(N12="","","kg")</f>
        <v>kg</v>
      </c>
      <c r="P12" s="319">
        <v>2.5</v>
      </c>
      <c r="Q12" s="33" t="str">
        <f t="shared" ref="Q12" si="0">IF(P12&lt;&gt;"","EUR","")</f>
        <v>EUR</v>
      </c>
      <c r="R12" s="27">
        <f>IF(P12&lt;&gt;"",ROUND(P12*N12,2),"")</f>
        <v>250</v>
      </c>
      <c r="S12" s="28" t="str">
        <f>IF(Q12&lt;&gt;"","EUR","")</f>
        <v>EUR</v>
      </c>
      <c r="T12" s="263"/>
      <c r="U12" s="263"/>
      <c r="V12" s="263"/>
    </row>
    <row r="13" spans="2:24" s="1" customFormat="1" ht="22" thickBot="1" x14ac:dyDescent="0.3">
      <c r="B13" s="446" t="s">
        <v>3053</v>
      </c>
      <c r="C13" s="446"/>
      <c r="D13" s="446"/>
      <c r="E13" s="446"/>
      <c r="F13" s="446"/>
      <c r="G13" s="446"/>
      <c r="H13" s="446"/>
      <c r="I13" s="446"/>
      <c r="J13" s="277"/>
      <c r="K13" s="381" t="s">
        <v>1502</v>
      </c>
      <c r="L13" s="370">
        <v>0</v>
      </c>
      <c r="M13" s="380" t="s">
        <v>1532</v>
      </c>
      <c r="N13" s="278">
        <f>Meat*L13</f>
        <v>0</v>
      </c>
      <c r="O13" s="340" t="s">
        <v>0</v>
      </c>
      <c r="P13" s="325">
        <f>IF(L13&lt;&gt;0,'AGAGEL® Emulsion'!L14/'AGAGEL® Emulsion'!G8,0)</f>
        <v>0</v>
      </c>
      <c r="Q13" s="279" t="str">
        <f t="shared" ref="Q13:Q14" si="1">IF(P13&lt;&gt;"","EUR","")</f>
        <v>EUR</v>
      </c>
      <c r="R13" s="280">
        <f>Emulsion*P13</f>
        <v>0</v>
      </c>
      <c r="S13" s="281" t="str">
        <f>IF(Q13&lt;&gt;"","EUR","")</f>
        <v>EUR</v>
      </c>
      <c r="T13" s="263"/>
      <c r="U13" s="263"/>
      <c r="V13" s="263"/>
    </row>
    <row r="14" spans="2:24" s="1" customFormat="1" ht="21" customHeight="1" x14ac:dyDescent="0.25">
      <c r="B14" s="447" t="s">
        <v>53</v>
      </c>
      <c r="C14" s="447"/>
      <c r="D14" s="447"/>
      <c r="E14" s="447"/>
      <c r="F14" s="447"/>
      <c r="G14" s="447"/>
      <c r="H14" s="447"/>
      <c r="I14" s="447"/>
      <c r="J14" s="338"/>
      <c r="K14" s="338"/>
      <c r="L14" s="188">
        <v>0.2</v>
      </c>
      <c r="M14" s="339"/>
      <c r="N14" s="26">
        <f>L14*Meat</f>
        <v>20</v>
      </c>
      <c r="O14" s="170" t="str">
        <f>IF(N14&lt;&gt;"","kg","")</f>
        <v>kg</v>
      </c>
      <c r="P14" s="322">
        <v>0.01</v>
      </c>
      <c r="Q14" s="32" t="str">
        <f t="shared" si="1"/>
        <v>EUR</v>
      </c>
      <c r="R14" s="29">
        <f>IF(P14&lt;&gt;"",ROUND(P14*N14,2),"")</f>
        <v>0.2</v>
      </c>
      <c r="S14" s="31" t="str">
        <f t="shared" ref="S14" si="2">IF(Q14&lt;&gt;"","EUR","")</f>
        <v>EUR</v>
      </c>
      <c r="T14" s="263"/>
      <c r="U14" s="387"/>
      <c r="V14" s="263"/>
    </row>
    <row r="15" spans="2:24" s="1" customFormat="1" ht="21" customHeight="1" x14ac:dyDescent="0.25">
      <c r="B15" s="451" t="s">
        <v>85</v>
      </c>
      <c r="C15" s="451"/>
      <c r="D15" s="451"/>
      <c r="E15" s="451"/>
      <c r="F15" s="451"/>
      <c r="G15" s="451"/>
      <c r="H15" s="451"/>
      <c r="I15" s="451"/>
      <c r="J15" s="19" t="s">
        <v>179</v>
      </c>
      <c r="K15" s="19"/>
      <c r="L15" s="276">
        <f>N15/Meat</f>
        <v>0</v>
      </c>
      <c r="M15" s="276"/>
      <c r="N15" s="313">
        <f>FibreMaxx*8</f>
        <v>0</v>
      </c>
      <c r="O15" s="382" t="str">
        <f>IF(N15&lt;&gt;"","kg","")</f>
        <v>kg</v>
      </c>
      <c r="P15" s="319">
        <v>0.01</v>
      </c>
      <c r="Q15" s="33" t="str">
        <f t="shared" ref="Q15" si="3">IF(P15&lt;&gt;"","EUR","")</f>
        <v>EUR</v>
      </c>
      <c r="R15" s="27">
        <f>IF(P15&lt;&gt;"",ROUND(P15*N15,2),"")</f>
        <v>0</v>
      </c>
      <c r="S15" s="28" t="str">
        <f t="shared" ref="S15" si="4">IF(Q15&lt;&gt;"","EUR","")</f>
        <v>EUR</v>
      </c>
      <c r="T15" s="459"/>
      <c r="U15" s="459"/>
      <c r="V15" s="263"/>
    </row>
    <row r="16" spans="2:24" s="7" customFormat="1" ht="25" customHeight="1" x14ac:dyDescent="0.25">
      <c r="B16" s="448" t="s">
        <v>92</v>
      </c>
      <c r="C16" s="448"/>
      <c r="D16" s="448"/>
      <c r="E16" s="448"/>
      <c r="F16" s="448"/>
      <c r="G16" s="448"/>
      <c r="H16" s="448"/>
      <c r="I16" s="448"/>
      <c r="J16" s="448"/>
      <c r="K16" s="24"/>
      <c r="L16" s="20">
        <f>MeatAndWater/Meat</f>
        <v>1.2</v>
      </c>
      <c r="M16" s="20"/>
      <c r="N16" s="21">
        <f>SUM(Meat,N13:N15)</f>
        <v>120</v>
      </c>
      <c r="O16" s="24" t="s">
        <v>0</v>
      </c>
      <c r="P16" s="321" t="str">
        <f>"ø "&amp;ROUND(R16/MeatAndWater,3)</f>
        <v>ø 2,085</v>
      </c>
      <c r="Q16" s="162" t="str">
        <f>IF(P16&lt;&gt;0,"EUR","")</f>
        <v>EUR</v>
      </c>
      <c r="R16" s="163">
        <f>SUM(R12:R15)</f>
        <v>250.2</v>
      </c>
      <c r="S16" s="162" t="str">
        <f>IF(R16&lt;&gt;0,"EUR","")</f>
        <v>EUR</v>
      </c>
      <c r="T16" s="459"/>
      <c r="U16" s="459"/>
      <c r="V16" s="263"/>
      <c r="W16" s="1"/>
      <c r="X16" s="1"/>
    </row>
    <row r="17" spans="2:23" s="30" customFormat="1" ht="26" customHeight="1" x14ac:dyDescent="0.25">
      <c r="B17" s="22" t="s">
        <v>35</v>
      </c>
      <c r="C17" s="22"/>
      <c r="D17" s="23" t="s">
        <v>45</v>
      </c>
      <c r="E17" s="445" t="s">
        <v>3171</v>
      </c>
      <c r="F17" s="445"/>
      <c r="G17" s="445"/>
      <c r="H17" s="445"/>
      <c r="I17" s="445"/>
      <c r="J17" s="445"/>
      <c r="K17" s="361"/>
      <c r="L17" s="444" t="s">
        <v>93</v>
      </c>
      <c r="M17" s="444"/>
      <c r="N17" s="444"/>
      <c r="O17" s="444"/>
      <c r="P17" s="443" t="s">
        <v>3196</v>
      </c>
      <c r="Q17" s="443"/>
      <c r="R17" s="443" t="s">
        <v>3066</v>
      </c>
      <c r="S17" s="443"/>
      <c r="T17" s="454" t="s">
        <v>3181</v>
      </c>
      <c r="U17" s="454"/>
      <c r="V17" s="341"/>
      <c r="W17" s="1"/>
    </row>
    <row r="18" spans="2:23" ht="21" customHeight="1" x14ac:dyDescent="0.25">
      <c r="B18" s="404">
        <v>55008</v>
      </c>
      <c r="C18" s="404"/>
      <c r="D18" s="178" t="str">
        <f>IF(ISNA(VLOOKUP(B18,AllData,2,0)),"",HYPERLINK(VLOOKUP(B18,AllData,7,0),"📌"))</f>
        <v>📌</v>
      </c>
      <c r="E18" s="405" t="str">
        <f t="shared" ref="E18:E25" si="5">IF(ISNA(VLOOKUP(B18,AllData,2,0)),"",VLOOKUP(B18,AllData,2,0))</f>
        <v>Frankfurter Classic</v>
      </c>
      <c r="F18" s="405"/>
      <c r="G18" s="405"/>
      <c r="H18" s="405"/>
      <c r="I18" s="405"/>
      <c r="J18" s="187"/>
      <c r="K18" s="187"/>
      <c r="L18" s="188">
        <v>5.0000000000000001E-3</v>
      </c>
      <c r="M18" s="188"/>
      <c r="N18" s="38">
        <f t="shared" ref="N18:N19" si="6">IF(L18&lt;&gt;"",ROUND(L18*MeatAndWater,2),0)</f>
        <v>0.6</v>
      </c>
      <c r="O18" s="179" t="str">
        <f t="shared" ref="O18" si="7">IF(N18&lt;&gt;"","kg","")</f>
        <v>kg</v>
      </c>
      <c r="P18" s="320">
        <f t="shared" ref="P18:P25" si="8">IF(ISNA(VLOOKUP(B18,AllData,2,0)),"",VLOOKUP(B18,AllData,4,0))</f>
        <v>12.1</v>
      </c>
      <c r="Q18" s="33" t="str">
        <f t="shared" ref="Q18:Q25" si="9">IF(P18&lt;&gt;"","EUR","")</f>
        <v>EUR</v>
      </c>
      <c r="R18" s="27">
        <f t="shared" ref="R18:R25" si="10">IF(P18&lt;&gt;"",ROUND(P18*N18,2),"")</f>
        <v>7.26</v>
      </c>
      <c r="S18" s="28" t="str">
        <f t="shared" ref="S18:S25" si="11">IF(Q18&lt;&gt;"","EUR","")</f>
        <v>EUR</v>
      </c>
      <c r="T18" s="341"/>
      <c r="U18" s="342">
        <f t="shared" ref="U18:U25" si="12">N18*VLOOKUP(B18,AllData,3)</f>
        <v>3.0359999999999998E-2</v>
      </c>
      <c r="V18" s="165" t="s">
        <v>0</v>
      </c>
      <c r="W18" s="1"/>
    </row>
    <row r="19" spans="2:23" ht="21" x14ac:dyDescent="0.25">
      <c r="B19" s="404">
        <v>50012</v>
      </c>
      <c r="C19" s="404"/>
      <c r="D19" s="178" t="str">
        <f t="shared" ref="D19:D24" si="13">IF(ISNA(VLOOKUP(B19,AllData,2,0)),"",HYPERLINK(VLOOKUP(B19,AllData,7,0),"📌"))</f>
        <v>📌</v>
      </c>
      <c r="E19" s="405" t="str">
        <f t="shared" si="5"/>
        <v>Meister KutMaxx Pro</v>
      </c>
      <c r="F19" s="405"/>
      <c r="G19" s="405"/>
      <c r="H19" s="405"/>
      <c r="I19" s="405"/>
      <c r="J19" s="187"/>
      <c r="K19" s="187"/>
      <c r="L19" s="188">
        <v>2E-3</v>
      </c>
      <c r="M19" s="188"/>
      <c r="N19" s="38">
        <f t="shared" si="6"/>
        <v>0.24</v>
      </c>
      <c r="O19" s="179" t="str">
        <f>IF(N19&lt;&gt;"","kg","")</f>
        <v>kg</v>
      </c>
      <c r="P19" s="320">
        <f t="shared" si="8"/>
        <v>9.9</v>
      </c>
      <c r="Q19" s="33" t="str">
        <f t="shared" si="9"/>
        <v>EUR</v>
      </c>
      <c r="R19" s="27">
        <f t="shared" si="10"/>
        <v>2.38</v>
      </c>
      <c r="S19" s="28" t="str">
        <f>IF(Q19&lt;&gt;"","EUR","")</f>
        <v>EUR</v>
      </c>
      <c r="T19" s="341"/>
      <c r="U19" s="342">
        <f t="shared" si="12"/>
        <v>3.2447999999999998E-2</v>
      </c>
      <c r="V19" s="165" t="s">
        <v>0</v>
      </c>
    </row>
    <row r="20" spans="2:23" ht="21" x14ac:dyDescent="0.25">
      <c r="B20" s="457">
        <v>11049</v>
      </c>
      <c r="C20" s="457"/>
      <c r="D20" s="343" t="str">
        <f t="shared" si="13"/>
        <v>📌</v>
      </c>
      <c r="E20" s="450" t="str">
        <f>IF(ISNA(VLOOKUP(B20,AllData,2,0)),"",VLOOKUP(B20,AllData,2,0))</f>
        <v>Curing Salt [Nitrite pickling salt]</v>
      </c>
      <c r="F20" s="450"/>
      <c r="G20" s="450"/>
      <c r="H20" s="450"/>
      <c r="I20" s="450"/>
      <c r="J20" s="344"/>
      <c r="K20" s="344"/>
      <c r="L20" s="355">
        <f>N20/MeatAndWater</f>
        <v>1.7583333333333333E-2</v>
      </c>
      <c r="M20" s="355"/>
      <c r="N20" s="345">
        <f>ROUND(SUM(MeatAndWater,N18:N19,N21:N25)*1.8%-SUM(U18:U25),2)</f>
        <v>2.11</v>
      </c>
      <c r="O20" s="356" t="str">
        <f>IF(N20&lt;&gt;"","kg","")</f>
        <v>kg</v>
      </c>
      <c r="P20" s="346">
        <f>IF(ISNA(VLOOKUP(B20,AllData,2,0)),"",VLOOKUP(B20,AllData,4,0))</f>
        <v>0.7</v>
      </c>
      <c r="Q20" s="347" t="str">
        <f t="shared" ref="Q20:Q22" si="14">IF(P20&lt;&gt;"","EUR","")</f>
        <v>EUR</v>
      </c>
      <c r="R20" s="348">
        <f t="shared" ref="R20:R22" si="15">IF(P20&lt;&gt;"",ROUND(P20*N20,2),"")</f>
        <v>1.48</v>
      </c>
      <c r="S20" s="349" t="str">
        <f t="shared" ref="S20:S22" si="16">IF(Q20&lt;&gt;"","EUR","")</f>
        <v>EUR</v>
      </c>
      <c r="T20" s="341"/>
      <c r="U20" s="342"/>
    </row>
    <row r="21" spans="2:23" ht="21" x14ac:dyDescent="0.25">
      <c r="B21" s="440">
        <v>11055</v>
      </c>
      <c r="C21" s="440"/>
      <c r="D21" s="364" t="str">
        <f>IF(ISNA(VLOOKUP(B21,AllData,2,0)),"",HYPERLINK(VLOOKUP(B21,AllData,7,0),"📌"))</f>
        <v>📌</v>
      </c>
      <c r="E21" s="439" t="str">
        <f>IF(ISNA(VLOOKUP(B21,AllData,2,0)),"",VLOOKUP(B21,AllData,2,0))</f>
        <v>FibreMaxx WF 200</v>
      </c>
      <c r="F21" s="439"/>
      <c r="G21" s="439"/>
      <c r="H21" s="439"/>
      <c r="I21" s="439"/>
      <c r="J21" s="383" t="s">
        <v>3226</v>
      </c>
      <c r="K21" s="375" t="s">
        <v>1502</v>
      </c>
      <c r="L21" s="365" t="s">
        <v>3184</v>
      </c>
      <c r="M21" s="376" t="s">
        <v>1532</v>
      </c>
      <c r="N21" s="384">
        <f>ROUND(IF(L21="zero",SUM(Meat,Water,Emulsion)*0%,IF(L21="low",SUM(Meat,Water,Emulsion)*0.5%,IF(L21="medium",SUM(Meat,Water,Emulsion)*0.75%,SUM(Meat,Water,Emulsion)*1%))),2)</f>
        <v>0</v>
      </c>
      <c r="O21" s="385" t="str">
        <f>IF(N21&lt;&gt;"","kg","")</f>
        <v>kg</v>
      </c>
      <c r="P21" s="366">
        <f>IF(ISNA(VLOOKUP(B21,AllData,2,0)),"",VLOOKUP(B21,AllData,4,0))</f>
        <v>2.8</v>
      </c>
      <c r="Q21" s="367" t="str">
        <f>IF(P21&lt;&gt;"","EUR","")</f>
        <v>EUR</v>
      </c>
      <c r="R21" s="368">
        <f>IF(P21&lt;&gt;"",ROUND(P21*N21,2),"")</f>
        <v>0</v>
      </c>
      <c r="S21" s="369" t="str">
        <f>IF(Q21&lt;&gt;"","EUR","")</f>
        <v>EUR</v>
      </c>
      <c r="T21" s="341"/>
      <c r="U21" s="342">
        <f>N21*VLOOKUP(B21,AllData,3)</f>
        <v>0</v>
      </c>
      <c r="V21" s="165" t="s">
        <v>0</v>
      </c>
    </row>
    <row r="22" spans="2:23" ht="21" x14ac:dyDescent="0.25">
      <c r="B22" s="404">
        <v>51008</v>
      </c>
      <c r="C22" s="404"/>
      <c r="D22" s="178" t="str">
        <f t="shared" ref="D22" si="17">IF(ISNA(VLOOKUP(B22,AllData,2,0)),"",HYPERLINK(VLOOKUP(B22,AllData,7,0),"📌"))</f>
        <v>📌</v>
      </c>
      <c r="E22" s="405" t="str">
        <f t="shared" ref="E22" si="18">IF(ISNA(VLOOKUP(B22,AllData,2,0)),"",VLOOKUP(B22,AllData,2,0))</f>
        <v>BouillonMaxx Chicken [MSG-free]</v>
      </c>
      <c r="F22" s="405"/>
      <c r="G22" s="405"/>
      <c r="H22" s="405"/>
      <c r="I22" s="405"/>
      <c r="J22" s="187" t="s">
        <v>3231</v>
      </c>
      <c r="K22" s="374" t="s">
        <v>1502</v>
      </c>
      <c r="L22" s="312" t="s">
        <v>3179</v>
      </c>
      <c r="M22" s="377" t="s">
        <v>1532</v>
      </c>
      <c r="N22" s="38">
        <f>IF(L22="use",ROUND(0.5%*MeatAndWater,2),0)</f>
        <v>0</v>
      </c>
      <c r="O22" s="179" t="str">
        <f t="shared" ref="O22" si="19">IF(N22&lt;&gt;"","kg","")</f>
        <v>kg</v>
      </c>
      <c r="P22" s="320">
        <f t="shared" ref="P22" si="20">IF(ISNA(VLOOKUP(B22,AllData,2,0)),"",VLOOKUP(B22,AllData,4,0))</f>
        <v>8.9</v>
      </c>
      <c r="Q22" s="33" t="str">
        <f t="shared" si="14"/>
        <v>EUR</v>
      </c>
      <c r="R22" s="27">
        <f t="shared" si="15"/>
        <v>0</v>
      </c>
      <c r="S22" s="28" t="str">
        <f t="shared" si="16"/>
        <v>EUR</v>
      </c>
      <c r="T22" s="341"/>
      <c r="U22" s="342">
        <f t="shared" ref="U22" si="21">N22*VLOOKUP(B22,AllData,3)</f>
        <v>0</v>
      </c>
      <c r="V22" s="165" t="s">
        <v>0</v>
      </c>
    </row>
    <row r="23" spans="2:23" ht="21" x14ac:dyDescent="0.25">
      <c r="B23" s="404">
        <v>58043</v>
      </c>
      <c r="C23" s="404"/>
      <c r="D23" s="178" t="str">
        <f t="shared" ref="D23" si="22">IF(ISNA(VLOOKUP(B23,AllData,2,0)),"",HYPERLINK(VLOOKUP(B23,AllData,7,0),"📌"))</f>
        <v>📌</v>
      </c>
      <c r="E23" s="405" t="str">
        <f t="shared" ref="E23" si="23">IF(ISNA(VLOOKUP(B23,AllData,2,0)),"",VLOOKUP(B23,AllData,2,0))</f>
        <v>Paprika 3,000 [liquid]</v>
      </c>
      <c r="F23" s="405"/>
      <c r="G23" s="405"/>
      <c r="H23" s="405"/>
      <c r="I23" s="405"/>
      <c r="J23" s="187" t="s">
        <v>3231</v>
      </c>
      <c r="K23" s="374" t="s">
        <v>1502</v>
      </c>
      <c r="L23" s="312" t="s">
        <v>3179</v>
      </c>
      <c r="M23" s="377" t="s">
        <v>1532</v>
      </c>
      <c r="N23" s="38">
        <f>IF(L23="use",ROUND(0.2%*MeatAndWater,2),0)</f>
        <v>0</v>
      </c>
      <c r="O23" s="179" t="str">
        <f t="shared" ref="O23" si="24">IF(N23&lt;&gt;"","kg","")</f>
        <v>kg</v>
      </c>
      <c r="P23" s="320">
        <f t="shared" ref="P23" si="25">IF(ISNA(VLOOKUP(B23,AllData,2,0)),"",VLOOKUP(B23,AllData,4,0))</f>
        <v>11.4</v>
      </c>
      <c r="Q23" s="33" t="str">
        <f t="shared" ref="Q23" si="26">IF(P23&lt;&gt;"","EUR","")</f>
        <v>EUR</v>
      </c>
      <c r="R23" s="27">
        <f t="shared" ref="R23" si="27">IF(P23&lt;&gt;"",ROUND(P23*N23,2),"")</f>
        <v>0</v>
      </c>
      <c r="S23" s="28" t="str">
        <f t="shared" ref="S23" si="28">IF(Q23&lt;&gt;"","EUR","")</f>
        <v>EUR</v>
      </c>
      <c r="T23" s="341"/>
      <c r="U23" s="342">
        <f t="shared" ref="U23" si="29">N23*VLOOKUP(B23,AllData,3)</f>
        <v>0</v>
      </c>
      <c r="V23" s="165" t="s">
        <v>0</v>
      </c>
    </row>
    <row r="24" spans="2:23" ht="21" x14ac:dyDescent="0.25">
      <c r="B24" s="404">
        <v>58002</v>
      </c>
      <c r="C24" s="404"/>
      <c r="D24" s="178" t="str">
        <f t="shared" si="13"/>
        <v>📌</v>
      </c>
      <c r="E24" s="405" t="str">
        <f t="shared" si="5"/>
        <v>Garlic Extra [liquid]</v>
      </c>
      <c r="F24" s="405"/>
      <c r="G24" s="405"/>
      <c r="H24" s="405"/>
      <c r="I24" s="405"/>
      <c r="J24" s="187" t="s">
        <v>3231</v>
      </c>
      <c r="K24" s="374" t="s">
        <v>1502</v>
      </c>
      <c r="L24" s="312" t="s">
        <v>3179</v>
      </c>
      <c r="M24" s="377" t="s">
        <v>1532</v>
      </c>
      <c r="N24" s="38">
        <f>IF(L24="use",ROUND(0.1%*MeatAndWater,2),0)</f>
        <v>0</v>
      </c>
      <c r="O24" s="179" t="str">
        <f t="shared" ref="O24" si="30">IF(N24&lt;&gt;"","kg","")</f>
        <v>kg</v>
      </c>
      <c r="P24" s="320">
        <f t="shared" si="8"/>
        <v>8.3000000000000007</v>
      </c>
      <c r="Q24" s="33" t="str">
        <f t="shared" si="9"/>
        <v>EUR</v>
      </c>
      <c r="R24" s="27">
        <f t="shared" si="10"/>
        <v>0</v>
      </c>
      <c r="S24" s="28" t="str">
        <f t="shared" si="11"/>
        <v>EUR</v>
      </c>
      <c r="T24" s="388"/>
      <c r="U24" s="342">
        <f t="shared" si="12"/>
        <v>0</v>
      </c>
      <c r="V24" s="165" t="s">
        <v>0</v>
      </c>
    </row>
    <row r="25" spans="2:23" ht="21" x14ac:dyDescent="0.25">
      <c r="B25" s="457">
        <v>11146</v>
      </c>
      <c r="C25" s="457"/>
      <c r="D25" s="343" t="str">
        <f t="shared" ref="D25" si="31">IF(ISNA(VLOOKUP(B25,AllData,2,0)),"",HYPERLINK(VLOOKUP(B25,AllData,7,0),"📌"))</f>
        <v>📌</v>
      </c>
      <c r="E25" s="450" t="str">
        <f t="shared" si="5"/>
        <v>RoMaxx MB liquid</v>
      </c>
      <c r="F25" s="450"/>
      <c r="G25" s="450"/>
      <c r="H25" s="450"/>
      <c r="I25" s="450"/>
      <c r="J25" s="371" t="s">
        <v>3227</v>
      </c>
      <c r="K25" s="378" t="s">
        <v>1502</v>
      </c>
      <c r="L25" s="372" t="s">
        <v>3179</v>
      </c>
      <c r="M25" s="379" t="s">
        <v>1532</v>
      </c>
      <c r="N25" s="373">
        <f>IF(L25="use",ROUND(0.2%*MeatAndWater,2),0)</f>
        <v>0</v>
      </c>
      <c r="O25" s="179" t="str">
        <f>IF(N25&lt;&gt;"","kg","")</f>
        <v>kg</v>
      </c>
      <c r="P25" s="320">
        <f t="shared" si="8"/>
        <v>9.9</v>
      </c>
      <c r="Q25" s="347" t="str">
        <f t="shared" si="9"/>
        <v>EUR</v>
      </c>
      <c r="R25" s="27">
        <f t="shared" si="10"/>
        <v>0</v>
      </c>
      <c r="S25" s="28" t="str">
        <f t="shared" si="11"/>
        <v>EUR</v>
      </c>
      <c r="T25" s="341"/>
      <c r="U25" s="342">
        <f t="shared" si="12"/>
        <v>0</v>
      </c>
      <c r="V25" s="165" t="s">
        <v>0</v>
      </c>
    </row>
    <row r="26" spans="2:23" ht="22" thickBot="1" x14ac:dyDescent="0.3">
      <c r="B26" s="404" t="s">
        <v>36</v>
      </c>
      <c r="C26" s="404"/>
      <c r="D26" s="404"/>
      <c r="E26" s="404"/>
      <c r="F26" s="404"/>
      <c r="G26" s="404"/>
      <c r="H26" s="404"/>
      <c r="I26" s="404"/>
      <c r="J26" s="404"/>
      <c r="K26" s="360"/>
      <c r="L26" s="189">
        <f>SUM(ingredientsWeight)/MeatAndWater</f>
        <v>2.4583333333333332E-2</v>
      </c>
      <c r="M26" s="189"/>
      <c r="N26" s="38">
        <f>SUM(ingredientsWeight)</f>
        <v>2.9499999999999997</v>
      </c>
      <c r="O26" s="357" t="s">
        <v>0</v>
      </c>
      <c r="P26" s="358" t="str">
        <f>"ø "&amp;ROUND(R26/N26,3)</f>
        <v>ø 3,769</v>
      </c>
      <c r="Q26" s="190" t="str">
        <f>Q18</f>
        <v>EUR</v>
      </c>
      <c r="R26" s="191">
        <f>SUM(R18:R25)</f>
        <v>11.120000000000001</v>
      </c>
      <c r="S26" s="192" t="str">
        <f>S18</f>
        <v>EUR</v>
      </c>
      <c r="T26" s="342" t="s">
        <v>3177</v>
      </c>
      <c r="U26" s="342">
        <f>SUM(U18:U25,Salt)</f>
        <v>2.1728079999999999</v>
      </c>
      <c r="V26" s="165" t="s">
        <v>0</v>
      </c>
    </row>
    <row r="27" spans="2:23" ht="35" customHeight="1" thickBot="1" x14ac:dyDescent="0.3">
      <c r="B27" s="456" t="s">
        <v>3073</v>
      </c>
      <c r="C27" s="456"/>
      <c r="D27" s="456"/>
      <c r="E27" s="456"/>
      <c r="F27" s="456"/>
      <c r="G27" s="456"/>
      <c r="H27" s="456"/>
      <c r="I27" s="456"/>
      <c r="J27" s="456"/>
      <c r="K27" s="363"/>
      <c r="L27" s="455">
        <f>ROUND(MeatAndWater+N26,2)</f>
        <v>122.95</v>
      </c>
      <c r="M27" s="455"/>
      <c r="N27" s="455"/>
      <c r="O27" s="180" t="s">
        <v>0</v>
      </c>
      <c r="P27" s="334">
        <f>R27/L27</f>
        <v>2.1254168361122407</v>
      </c>
      <c r="Q27" s="307" t="str">
        <f>"€ / kg"</f>
        <v>€ / kg</v>
      </c>
      <c r="R27" s="308">
        <f>SUM(R16,R26)</f>
        <v>261.32</v>
      </c>
      <c r="S27" s="309" t="str">
        <f>S18</f>
        <v>EUR</v>
      </c>
      <c r="T27" s="342" t="s">
        <v>3180</v>
      </c>
      <c r="U27" s="342">
        <f>U26/TotalWeight</f>
        <v>1.7672289548596988E-2</v>
      </c>
    </row>
    <row r="28" spans="2:23" ht="10" customHeight="1" x14ac:dyDescent="0.2">
      <c r="B28" s="167"/>
      <c r="C28" s="167"/>
      <c r="D28" s="167"/>
      <c r="E28" s="167"/>
      <c r="F28" s="167"/>
      <c r="G28" s="167"/>
      <c r="H28" s="167"/>
      <c r="I28" s="167"/>
      <c r="J28" s="167"/>
      <c r="K28" s="167"/>
      <c r="L28" s="168"/>
      <c r="M28" s="168"/>
      <c r="N28" s="168"/>
      <c r="O28" s="169"/>
      <c r="P28" s="175"/>
      <c r="Q28" s="176"/>
      <c r="R28" s="175"/>
      <c r="S28" s="176"/>
      <c r="T28" s="389"/>
      <c r="U28" s="337"/>
      <c r="V28" s="337"/>
    </row>
    <row r="29" spans="2:23" s="30" customFormat="1" ht="26" customHeight="1" x14ac:dyDescent="0.25">
      <c r="B29" s="209" t="s">
        <v>35</v>
      </c>
      <c r="C29" s="209"/>
      <c r="D29" s="210" t="s">
        <v>45</v>
      </c>
      <c r="E29" s="458" t="s">
        <v>3175</v>
      </c>
      <c r="F29" s="458"/>
      <c r="G29" s="458"/>
      <c r="H29" s="458"/>
      <c r="I29" s="458"/>
      <c r="J29" s="458"/>
      <c r="K29" s="359"/>
      <c r="L29" s="310"/>
      <c r="M29" s="310"/>
      <c r="N29" s="310"/>
      <c r="O29" s="310"/>
      <c r="P29" s="453" t="s">
        <v>3195</v>
      </c>
      <c r="Q29" s="453"/>
      <c r="R29" s="453"/>
      <c r="S29" s="453"/>
      <c r="T29" s="336"/>
      <c r="U29" s="263"/>
      <c r="V29" s="263"/>
      <c r="W29" s="1"/>
    </row>
    <row r="30" spans="2:23" ht="21" customHeight="1" x14ac:dyDescent="0.2">
      <c r="B30" s="404">
        <v>64000</v>
      </c>
      <c r="C30" s="404"/>
      <c r="D30" s="178" t="str">
        <f t="shared" ref="D30" si="32">IF(ISNA(VLOOKUP(B30,AllData,2,0)),"",HYPERLINK(VLOOKUP(B30,AllData,7,0),"📌"))</f>
        <v>📌</v>
      </c>
      <c r="E30" s="434" t="s">
        <v>3230</v>
      </c>
      <c r="F30" s="434"/>
      <c r="G30" s="434"/>
      <c r="H30" s="434"/>
      <c r="I30" s="434"/>
      <c r="J30" s="435" t="s">
        <v>3067</v>
      </c>
      <c r="K30" s="435"/>
      <c r="L30" s="435"/>
      <c r="M30" s="435"/>
      <c r="N30" s="435" t="str">
        <f>IF(L30&lt;&gt;"",ROUND(L30*MeatAndWater,2),"")</f>
        <v/>
      </c>
      <c r="O30" s="435" t="str">
        <f>IF(N30&lt;&gt;"","kg","")</f>
        <v/>
      </c>
      <c r="P30" s="401" t="s">
        <v>3176</v>
      </c>
      <c r="Q30" s="401"/>
      <c r="R30" s="401"/>
      <c r="S30" s="401"/>
      <c r="T30" s="336"/>
    </row>
    <row r="31" spans="2:23" ht="21" customHeight="1" x14ac:dyDescent="0.2">
      <c r="B31" s="406">
        <v>88081</v>
      </c>
      <c r="C31" s="406"/>
      <c r="D31" s="326" t="str">
        <f t="shared" ref="D31:D32" si="33">IF(ISNA(VLOOKUP(B31,AllData,2,0)),"",HYPERLINK(VLOOKUP(B31,AllData,7,0),"📌"))</f>
        <v>📌</v>
      </c>
      <c r="E31" s="436" t="str">
        <f t="shared" ref="E31:E36" si="34">IF(ISNA(VLOOKUP(B31,AllData,2,0)),"",VLOOKUP(B31,AllData,2,0))</f>
        <v>Meat Mincer TGR-103 COOL by Delitech</v>
      </c>
      <c r="F31" s="436"/>
      <c r="G31" s="436"/>
      <c r="H31" s="436"/>
      <c r="I31" s="436"/>
      <c r="J31" s="437" t="s">
        <v>3191</v>
      </c>
      <c r="K31" s="437"/>
      <c r="L31" s="437"/>
      <c r="M31" s="437"/>
      <c r="N31" s="437"/>
      <c r="O31" s="437"/>
      <c r="P31" s="401"/>
      <c r="Q31" s="401"/>
      <c r="R31" s="401"/>
      <c r="S31" s="401"/>
      <c r="T31" s="336"/>
      <c r="U31" s="336"/>
    </row>
    <row r="32" spans="2:23" ht="21" customHeight="1" x14ac:dyDescent="0.2">
      <c r="B32" s="404">
        <v>89039</v>
      </c>
      <c r="C32" s="404"/>
      <c r="D32" s="182" t="str">
        <f t="shared" si="33"/>
        <v>📌</v>
      </c>
      <c r="E32" s="405" t="str">
        <f t="shared" si="34"/>
        <v>Bowl Cutter BC 410 by Delitech [40 ltr]</v>
      </c>
      <c r="F32" s="405"/>
      <c r="G32" s="405"/>
      <c r="H32" s="405"/>
      <c r="I32" s="405"/>
      <c r="J32" s="399" t="s">
        <v>3192</v>
      </c>
      <c r="K32" s="399"/>
      <c r="L32" s="399"/>
      <c r="M32" s="399"/>
      <c r="N32" s="399"/>
      <c r="O32" s="399"/>
      <c r="P32" s="401"/>
      <c r="Q32" s="401"/>
      <c r="R32" s="401"/>
      <c r="S32" s="401"/>
      <c r="T32" s="336"/>
      <c r="U32" s="336"/>
    </row>
    <row r="33" spans="2:22" ht="21" customHeight="1" x14ac:dyDescent="0.2">
      <c r="B33" s="404">
        <v>89091</v>
      </c>
      <c r="C33" s="404"/>
      <c r="D33" s="182" t="str">
        <f t="shared" ref="D33" si="35">IF(ISNA(VLOOKUP(B33,AllData,2,0)),"",HYPERLINK(VLOOKUP(B33,AllData,7,0),"📌"))</f>
        <v>📌</v>
      </c>
      <c r="E33" s="405" t="str">
        <f t="shared" ref="E33" si="36">IF(ISNA(VLOOKUP(B33,AllData,2,0)),"",VLOOKUP(B33,AllData,2,0))</f>
        <v>Clip Star 200 [manual]</v>
      </c>
      <c r="F33" s="405"/>
      <c r="G33" s="405"/>
      <c r="H33" s="405"/>
      <c r="I33" s="405"/>
      <c r="J33" s="399" t="s">
        <v>3228</v>
      </c>
      <c r="K33" s="399"/>
      <c r="L33" s="399"/>
      <c r="M33" s="399"/>
      <c r="N33" s="399"/>
      <c r="O33" s="399"/>
      <c r="P33" s="401"/>
      <c r="Q33" s="401"/>
      <c r="R33" s="401"/>
      <c r="S33" s="401"/>
      <c r="T33" s="336"/>
      <c r="U33" s="336"/>
    </row>
    <row r="34" spans="2:22" ht="21" customHeight="1" x14ac:dyDescent="0.2">
      <c r="B34" s="404">
        <v>89075</v>
      </c>
      <c r="C34" s="404"/>
      <c r="D34" s="182" t="str">
        <f t="shared" ref="D34" si="37">IF(ISNA(VLOOKUP(B34,AllData,2,0)),"",HYPERLINK(VLOOKUP(B34,AllData,7,0),"📌"))</f>
        <v>📌</v>
      </c>
      <c r="E34" s="405" t="str">
        <f t="shared" ref="E34" si="38">IF(ISNA(VLOOKUP(B34,AllData,2,0)),"",VLOOKUP(B34,AllData,2,0))</f>
        <v>Schälomat DK.02.HM</v>
      </c>
      <c r="F34" s="405"/>
      <c r="G34" s="405"/>
      <c r="H34" s="405"/>
      <c r="I34" s="405"/>
      <c r="J34" s="399" t="s">
        <v>3229</v>
      </c>
      <c r="K34" s="399"/>
      <c r="L34" s="399"/>
      <c r="M34" s="399"/>
      <c r="N34" s="399"/>
      <c r="O34" s="399"/>
      <c r="P34" s="401"/>
      <c r="Q34" s="401"/>
      <c r="R34" s="401"/>
      <c r="S34" s="401"/>
      <c r="T34" s="336"/>
      <c r="U34" s="336"/>
    </row>
    <row r="35" spans="2:22" ht="21" customHeight="1" x14ac:dyDescent="0.2">
      <c r="B35" s="404">
        <v>89025</v>
      </c>
      <c r="C35" s="404"/>
      <c r="D35" s="182" t="str">
        <f t="shared" ref="D35" si="39">IF(ISNA(VLOOKUP(B35,AllData,2,0)),"",HYPERLINK(VLOOKUP(B35,AllData,7,0),"📌"))</f>
        <v>📌</v>
      </c>
      <c r="E35" s="398" t="str">
        <f t="shared" si="34"/>
        <v>Smoke Trolley, H-shaped, 6 Levels</v>
      </c>
      <c r="F35" s="398"/>
      <c r="G35" s="398"/>
      <c r="H35" s="398"/>
      <c r="I35" s="398"/>
      <c r="J35" s="399" t="s">
        <v>3193</v>
      </c>
      <c r="K35" s="399"/>
      <c r="L35" s="399"/>
      <c r="M35" s="399"/>
      <c r="N35" s="399"/>
      <c r="O35" s="399"/>
      <c r="P35" s="401"/>
      <c r="Q35" s="401"/>
      <c r="R35" s="401"/>
      <c r="S35" s="401"/>
      <c r="T35" s="336"/>
      <c r="U35" s="336"/>
    </row>
    <row r="36" spans="2:22" ht="21" customHeight="1" x14ac:dyDescent="0.2">
      <c r="B36" s="404">
        <v>89022</v>
      </c>
      <c r="C36" s="404"/>
      <c r="D36" s="182" t="str">
        <f t="shared" ref="D36" si="40">IF(ISNA(VLOOKUP(B36,AllData,2,0)),"",HYPERLINK(VLOOKUP(B36,AllData,7,0),"📌"))</f>
        <v>📌</v>
      </c>
      <c r="E36" s="398" t="str">
        <f t="shared" si="34"/>
        <v>Charging Trolley 300 litres</v>
      </c>
      <c r="F36" s="398"/>
      <c r="G36" s="398"/>
      <c r="H36" s="398"/>
      <c r="I36" s="398"/>
      <c r="J36" s="399" t="s">
        <v>3194</v>
      </c>
      <c r="K36" s="399"/>
      <c r="L36" s="399"/>
      <c r="M36" s="399"/>
      <c r="N36" s="399"/>
      <c r="O36" s="399"/>
      <c r="P36" s="401"/>
      <c r="Q36" s="401"/>
      <c r="R36" s="401"/>
      <c r="S36" s="401"/>
      <c r="T36" s="336"/>
      <c r="U36" s="336"/>
    </row>
    <row r="37" spans="2:22" ht="21" customHeight="1" x14ac:dyDescent="0.2">
      <c r="B37" s="211"/>
      <c r="C37" s="211"/>
      <c r="D37" s="208" t="s">
        <v>62</v>
      </c>
      <c r="E37" s="400" t="s">
        <v>3070</v>
      </c>
      <c r="F37" s="400"/>
      <c r="G37" s="400"/>
      <c r="H37" s="400"/>
      <c r="I37" s="400"/>
      <c r="J37" s="400"/>
      <c r="K37" s="400"/>
      <c r="L37" s="400"/>
      <c r="M37" s="400"/>
      <c r="N37" s="400"/>
      <c r="O37" s="400"/>
      <c r="P37" s="401"/>
      <c r="Q37" s="401"/>
      <c r="R37" s="401"/>
      <c r="S37" s="401"/>
      <c r="T37" s="336"/>
    </row>
    <row r="38" spans="2:22" ht="22" thickBot="1" x14ac:dyDescent="0.3">
      <c r="B38" s="414"/>
      <c r="C38" s="414"/>
      <c r="D38" s="414"/>
      <c r="E38" s="414"/>
      <c r="F38" s="414"/>
      <c r="G38" s="414"/>
      <c r="H38" s="414"/>
      <c r="I38" s="414"/>
      <c r="J38" s="414"/>
      <c r="K38" s="414"/>
      <c r="L38" s="414"/>
      <c r="M38" s="414"/>
      <c r="N38" s="414"/>
      <c r="O38" s="414"/>
      <c r="P38" s="317"/>
      <c r="Q38" s="317"/>
      <c r="R38" s="317"/>
      <c r="S38" s="317"/>
      <c r="T38" s="336"/>
      <c r="U38" s="337"/>
      <c r="V38" s="337"/>
    </row>
    <row r="39" spans="2:22" ht="25" thickTop="1" x14ac:dyDescent="0.2">
      <c r="B39" s="415" t="s">
        <v>3048</v>
      </c>
      <c r="C39" s="416"/>
      <c r="D39" s="416"/>
      <c r="E39" s="416"/>
      <c r="F39" s="416"/>
      <c r="G39" s="416"/>
      <c r="H39" s="416"/>
      <c r="I39" s="416"/>
      <c r="J39" s="416"/>
      <c r="K39" s="416"/>
      <c r="L39" s="416"/>
      <c r="M39" s="416"/>
      <c r="N39" s="416"/>
      <c r="O39" s="417"/>
      <c r="P39" s="12"/>
      <c r="T39" s="336"/>
    </row>
    <row r="40" spans="2:22" ht="19" customHeight="1" x14ac:dyDescent="0.2">
      <c r="B40" s="183" t="s">
        <v>3047</v>
      </c>
      <c r="C40" s="271" t="s">
        <v>62</v>
      </c>
      <c r="D40" s="396" t="s">
        <v>3151</v>
      </c>
      <c r="E40" s="396"/>
      <c r="F40" s="396"/>
      <c r="G40" s="396"/>
      <c r="H40" s="396"/>
      <c r="I40" s="396"/>
      <c r="J40" s="396"/>
      <c r="K40" s="396"/>
      <c r="L40" s="396"/>
      <c r="M40" s="396"/>
      <c r="N40" s="396"/>
      <c r="O40" s="397"/>
      <c r="P40" s="12"/>
      <c r="T40" s="336"/>
    </row>
    <row r="41" spans="2:22" ht="19" customHeight="1" x14ac:dyDescent="0.2">
      <c r="B41" s="183"/>
      <c r="C41" s="282"/>
      <c r="D41" s="396"/>
      <c r="E41" s="396"/>
      <c r="F41" s="396"/>
      <c r="G41" s="396"/>
      <c r="H41" s="396"/>
      <c r="I41" s="396"/>
      <c r="J41" s="396"/>
      <c r="K41" s="396"/>
      <c r="L41" s="396"/>
      <c r="M41" s="396"/>
      <c r="N41" s="396"/>
      <c r="O41" s="397"/>
      <c r="P41" s="318"/>
      <c r="Q41" s="318"/>
      <c r="R41" s="318"/>
      <c r="S41" s="318"/>
    </row>
    <row r="42" spans="2:22" ht="20" thickBot="1" x14ac:dyDescent="0.25">
      <c r="B42" s="184" t="s">
        <v>3047</v>
      </c>
      <c r="C42" s="418" t="s">
        <v>3233</v>
      </c>
      <c r="D42" s="418"/>
      <c r="E42" s="418"/>
      <c r="F42" s="418"/>
      <c r="G42" s="418"/>
      <c r="H42" s="418"/>
      <c r="I42" s="418"/>
      <c r="J42" s="418"/>
      <c r="K42" s="418"/>
      <c r="L42" s="418"/>
      <c r="M42" s="418"/>
      <c r="N42" s="418"/>
      <c r="O42" s="419"/>
      <c r="P42" s="317"/>
      <c r="Q42" s="317"/>
      <c r="R42" s="317"/>
      <c r="S42" s="317"/>
    </row>
    <row r="43" spans="2:22" ht="10" customHeight="1" thickTop="1" thickBot="1" x14ac:dyDescent="0.25">
      <c r="B43" s="181"/>
      <c r="C43" s="181"/>
      <c r="D43" s="181"/>
      <c r="E43" s="181"/>
      <c r="F43" s="181"/>
      <c r="G43" s="181"/>
      <c r="H43" s="181"/>
      <c r="I43" s="181"/>
      <c r="J43" s="181"/>
      <c r="K43" s="181"/>
      <c r="L43" s="181"/>
      <c r="M43" s="181"/>
      <c r="N43" s="181"/>
      <c r="O43" s="181"/>
      <c r="P43" s="317"/>
      <c r="Q43" s="317"/>
      <c r="R43" s="317"/>
      <c r="S43" s="317"/>
    </row>
    <row r="44" spans="2:22" ht="25" customHeight="1" thickTop="1" x14ac:dyDescent="0.2">
      <c r="B44" s="394" t="s">
        <v>3157</v>
      </c>
      <c r="C44" s="395"/>
      <c r="D44" s="395"/>
      <c r="E44" s="395"/>
      <c r="F44" s="395"/>
      <c r="G44" s="395"/>
      <c r="H44" s="395"/>
      <c r="I44" s="333"/>
      <c r="J44" s="287"/>
      <c r="K44" s="287"/>
      <c r="L44" s="288"/>
      <c r="M44" s="288"/>
      <c r="N44" s="288"/>
      <c r="O44" s="289"/>
      <c r="P44" s="317"/>
      <c r="Q44" s="317"/>
      <c r="R44" s="317"/>
      <c r="S44" s="317"/>
    </row>
    <row r="45" spans="2:22" ht="19" customHeight="1" x14ac:dyDescent="0.2">
      <c r="B45" s="283" t="s">
        <v>3047</v>
      </c>
      <c r="C45" s="407" t="s">
        <v>3182</v>
      </c>
      <c r="D45" s="407"/>
      <c r="E45" s="407"/>
      <c r="F45" s="407"/>
      <c r="G45" s="407"/>
      <c r="H45" s="407"/>
      <c r="I45" s="407"/>
      <c r="J45" s="407"/>
      <c r="K45" s="407"/>
      <c r="L45" s="407"/>
      <c r="M45" s="407"/>
      <c r="N45" s="407"/>
      <c r="O45" s="408"/>
      <c r="P45" s="317"/>
      <c r="Q45" s="317"/>
      <c r="R45" s="317"/>
      <c r="S45" s="317"/>
    </row>
    <row r="46" spans="2:22" x14ac:dyDescent="0.2">
      <c r="B46" s="283" t="s">
        <v>3047</v>
      </c>
      <c r="C46" s="407" t="s">
        <v>3152</v>
      </c>
      <c r="D46" s="407"/>
      <c r="E46" s="407"/>
      <c r="F46" s="407"/>
      <c r="G46" s="407"/>
      <c r="H46" s="407"/>
      <c r="I46" s="407"/>
      <c r="J46" s="407"/>
      <c r="K46" s="407"/>
      <c r="L46" s="407"/>
      <c r="M46" s="407"/>
      <c r="N46" s="407"/>
      <c r="O46" s="408"/>
      <c r="P46" s="317"/>
      <c r="Q46" s="317"/>
      <c r="R46" s="317"/>
      <c r="S46" s="317"/>
    </row>
    <row r="47" spans="2:22" ht="19" customHeight="1" x14ac:dyDescent="0.2">
      <c r="B47" s="283" t="s">
        <v>3047</v>
      </c>
      <c r="C47" s="272" t="s">
        <v>62</v>
      </c>
      <c r="D47" s="407" t="s">
        <v>3198</v>
      </c>
      <c r="E47" s="407"/>
      <c r="F47" s="407"/>
      <c r="G47" s="407"/>
      <c r="H47" s="407"/>
      <c r="I47" s="407"/>
      <c r="J47" s="407"/>
      <c r="K47" s="407"/>
      <c r="L47" s="407"/>
      <c r="M47" s="407"/>
      <c r="N47" s="407"/>
      <c r="O47" s="408"/>
      <c r="P47" s="318"/>
      <c r="Q47" s="318"/>
      <c r="R47" s="318"/>
      <c r="S47" s="318"/>
    </row>
    <row r="48" spans="2:22" ht="19" customHeight="1" x14ac:dyDescent="0.2">
      <c r="B48" s="283"/>
      <c r="C48" s="272"/>
      <c r="D48" s="407"/>
      <c r="E48" s="407"/>
      <c r="F48" s="407"/>
      <c r="G48" s="407"/>
      <c r="H48" s="407"/>
      <c r="I48" s="407"/>
      <c r="J48" s="407"/>
      <c r="K48" s="407"/>
      <c r="L48" s="407"/>
      <c r="M48" s="407"/>
      <c r="N48" s="407"/>
      <c r="O48" s="408"/>
      <c r="P48" s="318"/>
      <c r="Q48" s="318"/>
      <c r="R48" s="318"/>
      <c r="S48" s="318"/>
    </row>
    <row r="49" spans="2:19" ht="21" customHeight="1" x14ac:dyDescent="0.2">
      <c r="B49" s="323"/>
      <c r="C49" s="324"/>
      <c r="D49" s="409" t="s">
        <v>3199</v>
      </c>
      <c r="E49" s="409"/>
      <c r="F49" s="409"/>
      <c r="G49" s="409"/>
      <c r="H49" s="409"/>
      <c r="I49" s="409"/>
      <c r="J49" s="409"/>
      <c r="K49" s="409"/>
      <c r="L49" s="409"/>
      <c r="M49" s="409"/>
      <c r="N49" s="409"/>
      <c r="O49" s="410"/>
      <c r="P49" s="318"/>
      <c r="Q49" s="318"/>
      <c r="R49" s="318"/>
    </row>
    <row r="50" spans="2:19" ht="10" customHeight="1" x14ac:dyDescent="0.2">
      <c r="B50" s="283"/>
      <c r="C50" s="284"/>
      <c r="D50" s="285"/>
      <c r="E50" s="285"/>
      <c r="F50" s="285"/>
      <c r="G50" s="285"/>
      <c r="H50" s="285"/>
      <c r="I50" s="285"/>
      <c r="J50" s="285"/>
      <c r="K50" s="285"/>
      <c r="L50" s="285"/>
      <c r="M50" s="285"/>
      <c r="N50" s="285"/>
      <c r="O50" s="286"/>
      <c r="P50" s="318"/>
      <c r="Q50" s="318"/>
      <c r="R50" s="318"/>
      <c r="S50" s="318"/>
    </row>
    <row r="51" spans="2:19" ht="20" thickBot="1" x14ac:dyDescent="0.25">
      <c r="B51" s="411" t="s">
        <v>3153</v>
      </c>
      <c r="C51" s="412"/>
      <c r="D51" s="412"/>
      <c r="E51" s="412"/>
      <c r="F51" s="412"/>
      <c r="G51" s="412"/>
      <c r="H51" s="412"/>
      <c r="I51" s="412"/>
      <c r="J51" s="412"/>
      <c r="K51" s="412"/>
      <c r="L51" s="412"/>
      <c r="M51" s="412"/>
      <c r="N51" s="412"/>
      <c r="O51" s="413"/>
      <c r="P51" s="318"/>
      <c r="Q51" s="318"/>
      <c r="R51" s="318"/>
      <c r="S51" s="318"/>
    </row>
    <row r="52" spans="2:19" ht="10" customHeight="1" thickTop="1" thickBot="1" x14ac:dyDescent="0.3">
      <c r="B52" s="414"/>
      <c r="C52" s="414"/>
      <c r="D52" s="414"/>
      <c r="E52" s="414"/>
      <c r="F52" s="414"/>
      <c r="G52" s="414"/>
      <c r="H52" s="414"/>
      <c r="I52" s="414"/>
      <c r="J52" s="414"/>
      <c r="K52" s="414"/>
      <c r="L52" s="414"/>
      <c r="M52" s="414"/>
      <c r="N52" s="414"/>
      <c r="O52" s="414"/>
      <c r="P52" s="318"/>
      <c r="Q52" s="318"/>
      <c r="R52" s="318"/>
      <c r="S52" s="318"/>
    </row>
    <row r="53" spans="2:19" ht="25" thickTop="1" x14ac:dyDescent="0.2">
      <c r="B53" s="415" t="s">
        <v>3154</v>
      </c>
      <c r="C53" s="416"/>
      <c r="D53" s="416"/>
      <c r="E53" s="416"/>
      <c r="F53" s="416"/>
      <c r="G53" s="416"/>
      <c r="H53" s="416"/>
      <c r="I53" s="416"/>
      <c r="J53" s="416"/>
      <c r="K53" s="416"/>
      <c r="L53" s="416"/>
      <c r="M53" s="416"/>
      <c r="N53" s="416"/>
      <c r="O53" s="417"/>
      <c r="P53" s="318"/>
      <c r="Q53" s="318"/>
      <c r="R53" s="318"/>
      <c r="S53" s="318"/>
    </row>
    <row r="54" spans="2:19" ht="19" customHeight="1" x14ac:dyDescent="0.2">
      <c r="B54" s="290" t="s">
        <v>3047</v>
      </c>
      <c r="C54" s="396" t="s">
        <v>3236</v>
      </c>
      <c r="D54" s="396"/>
      <c r="E54" s="396"/>
      <c r="F54" s="396"/>
      <c r="G54" s="396"/>
      <c r="H54" s="396"/>
      <c r="I54" s="396"/>
      <c r="J54" s="396"/>
      <c r="K54" s="396"/>
      <c r="L54" s="396"/>
      <c r="M54" s="396"/>
      <c r="N54" s="396"/>
      <c r="O54" s="397"/>
      <c r="P54" s="318"/>
      <c r="Q54" s="318"/>
      <c r="R54" s="318"/>
      <c r="S54" s="318"/>
    </row>
    <row r="55" spans="2:19" x14ac:dyDescent="0.2">
      <c r="B55" s="290"/>
      <c r="C55" s="396"/>
      <c r="D55" s="396"/>
      <c r="E55" s="396"/>
      <c r="F55" s="396"/>
      <c r="G55" s="396"/>
      <c r="H55" s="396"/>
      <c r="I55" s="396"/>
      <c r="J55" s="396"/>
      <c r="K55" s="396"/>
      <c r="L55" s="396"/>
      <c r="M55" s="396"/>
      <c r="N55" s="396"/>
      <c r="O55" s="397"/>
      <c r="P55" s="318"/>
      <c r="Q55" s="318"/>
      <c r="R55" s="318"/>
      <c r="S55" s="318"/>
    </row>
    <row r="56" spans="2:19" ht="20" thickBot="1" x14ac:dyDescent="0.25">
      <c r="B56" s="291" t="s">
        <v>3047</v>
      </c>
      <c r="C56" s="418" t="s">
        <v>3155</v>
      </c>
      <c r="D56" s="418"/>
      <c r="E56" s="418"/>
      <c r="F56" s="418"/>
      <c r="G56" s="418"/>
      <c r="H56" s="418"/>
      <c r="I56" s="418"/>
      <c r="J56" s="418"/>
      <c r="K56" s="418"/>
      <c r="L56" s="418"/>
      <c r="M56" s="418"/>
      <c r="N56" s="418"/>
      <c r="O56" s="419"/>
      <c r="P56" s="318"/>
      <c r="Q56" s="318"/>
      <c r="R56" s="318"/>
      <c r="S56" s="318"/>
    </row>
    <row r="57" spans="2:19" ht="10" customHeight="1" thickTop="1" thickBot="1" x14ac:dyDescent="0.25">
      <c r="B57" s="292"/>
      <c r="C57" s="292"/>
      <c r="D57" s="292"/>
      <c r="E57" s="292"/>
      <c r="F57" s="292"/>
      <c r="G57" s="292"/>
      <c r="H57" s="292"/>
      <c r="I57" s="292"/>
      <c r="J57" s="292"/>
      <c r="K57" s="292"/>
      <c r="L57" s="292"/>
      <c r="M57" s="292"/>
      <c r="N57" s="292"/>
      <c r="O57" s="292"/>
      <c r="P57" s="318"/>
      <c r="Q57" s="318"/>
      <c r="R57" s="318"/>
      <c r="S57" s="318"/>
    </row>
    <row r="58" spans="2:19" ht="25" thickTop="1" x14ac:dyDescent="0.2">
      <c r="B58" s="420" t="s">
        <v>3200</v>
      </c>
      <c r="C58" s="421"/>
      <c r="D58" s="421"/>
      <c r="E58" s="421"/>
      <c r="F58" s="421"/>
      <c r="G58" s="421"/>
      <c r="H58" s="421"/>
      <c r="I58" s="421"/>
      <c r="J58" s="421"/>
      <c r="K58" s="421"/>
      <c r="L58" s="421"/>
      <c r="M58" s="421"/>
      <c r="N58" s="421"/>
      <c r="O58" s="422"/>
      <c r="P58" s="318"/>
      <c r="Q58" s="318"/>
      <c r="R58" s="318"/>
      <c r="S58" s="318"/>
    </row>
    <row r="59" spans="2:19" ht="10" customHeight="1" x14ac:dyDescent="0.2">
      <c r="B59" s="293"/>
      <c r="C59" s="423"/>
      <c r="D59" s="423"/>
      <c r="E59" s="423"/>
      <c r="F59" s="423"/>
      <c r="G59" s="423"/>
      <c r="H59" s="423"/>
      <c r="I59" s="423"/>
      <c r="J59" s="423"/>
      <c r="K59" s="423"/>
      <c r="L59" s="423"/>
      <c r="M59" s="423"/>
      <c r="N59" s="423"/>
      <c r="O59" s="424"/>
      <c r="P59" s="318"/>
      <c r="Q59" s="318"/>
      <c r="R59" s="318"/>
      <c r="S59" s="318"/>
    </row>
    <row r="60" spans="2:19" ht="21" customHeight="1" x14ac:dyDescent="0.2">
      <c r="B60" s="294"/>
      <c r="C60" s="295"/>
      <c r="D60" s="295"/>
      <c r="E60" s="425" t="s">
        <v>3138</v>
      </c>
      <c r="F60" s="425"/>
      <c r="G60" s="425"/>
      <c r="H60" s="425"/>
      <c r="I60" s="296" t="s">
        <v>3139</v>
      </c>
      <c r="J60" s="296" t="s">
        <v>3064</v>
      </c>
      <c r="K60" s="296"/>
      <c r="L60" s="297"/>
      <c r="M60" s="297"/>
      <c r="N60" s="297"/>
      <c r="O60" s="298"/>
      <c r="P60" s="318"/>
      <c r="Q60" s="318"/>
      <c r="R60" s="318"/>
      <c r="S60" s="318"/>
    </row>
    <row r="61" spans="2:19" ht="21" customHeight="1" x14ac:dyDescent="0.2">
      <c r="B61" s="294"/>
      <c r="C61" s="402" t="s">
        <v>3172</v>
      </c>
      <c r="D61" s="402"/>
      <c r="E61" s="390" t="s">
        <v>3238</v>
      </c>
      <c r="F61" s="390"/>
      <c r="G61" s="390"/>
      <c r="H61" s="390"/>
      <c r="I61" s="335" t="s">
        <v>3239</v>
      </c>
      <c r="J61" s="390" t="s">
        <v>3203</v>
      </c>
      <c r="K61" s="390"/>
      <c r="L61" s="390"/>
      <c r="M61" s="390"/>
      <c r="N61" s="390"/>
      <c r="O61" s="391"/>
      <c r="P61" s="318"/>
      <c r="Q61" s="318"/>
      <c r="R61" s="318"/>
      <c r="S61" s="318"/>
    </row>
    <row r="62" spans="2:19" ht="21" x14ac:dyDescent="0.2">
      <c r="B62" s="294"/>
      <c r="C62" s="390"/>
      <c r="D62" s="390"/>
      <c r="E62" s="390"/>
      <c r="F62" s="390"/>
      <c r="G62" s="390"/>
      <c r="H62" s="390"/>
      <c r="I62" s="393" t="s">
        <v>3240</v>
      </c>
      <c r="J62" s="390"/>
      <c r="K62" s="390"/>
      <c r="L62" s="390"/>
      <c r="M62" s="390"/>
      <c r="N62" s="390"/>
      <c r="O62" s="391"/>
      <c r="P62" s="318"/>
      <c r="Q62" s="318"/>
      <c r="R62" s="318"/>
      <c r="S62" s="318"/>
    </row>
    <row r="63" spans="2:19" ht="21" customHeight="1" x14ac:dyDescent="0.2">
      <c r="B63" s="294"/>
      <c r="C63" s="402" t="s">
        <v>3173</v>
      </c>
      <c r="D63" s="402"/>
      <c r="E63" s="390" t="s">
        <v>3201</v>
      </c>
      <c r="F63" s="390"/>
      <c r="G63" s="390"/>
      <c r="H63" s="390"/>
      <c r="I63" s="335" t="s">
        <v>3202</v>
      </c>
      <c r="J63" s="390" t="s">
        <v>3203</v>
      </c>
      <c r="K63" s="390"/>
      <c r="L63" s="390"/>
      <c r="M63" s="390"/>
      <c r="N63" s="390"/>
      <c r="O63" s="391"/>
      <c r="P63" s="318"/>
      <c r="Q63" s="318"/>
      <c r="R63" s="318"/>
      <c r="S63" s="318"/>
    </row>
    <row r="64" spans="2:19" ht="22" customHeight="1" x14ac:dyDescent="0.2">
      <c r="B64" s="294"/>
      <c r="C64" s="402" t="s">
        <v>3207</v>
      </c>
      <c r="D64" s="402"/>
      <c r="E64" s="390" t="s">
        <v>3204</v>
      </c>
      <c r="F64" s="390"/>
      <c r="G64" s="390"/>
      <c r="H64" s="390"/>
      <c r="I64" s="335" t="s">
        <v>3205</v>
      </c>
      <c r="J64" s="390" t="s">
        <v>3206</v>
      </c>
      <c r="K64" s="390"/>
      <c r="L64" s="390"/>
      <c r="M64" s="390"/>
      <c r="N64" s="390"/>
      <c r="O64" s="391"/>
      <c r="P64" s="318"/>
      <c r="Q64" s="318"/>
      <c r="R64" s="318"/>
      <c r="S64" s="318"/>
    </row>
    <row r="65" spans="2:19" ht="22" customHeight="1" x14ac:dyDescent="0.2">
      <c r="B65" s="294"/>
      <c r="C65" s="402" t="s">
        <v>3210</v>
      </c>
      <c r="D65" s="402"/>
      <c r="E65" s="390" t="s">
        <v>3201</v>
      </c>
      <c r="F65" s="390"/>
      <c r="G65" s="390"/>
      <c r="H65" s="390"/>
      <c r="I65" s="335" t="s">
        <v>3208</v>
      </c>
      <c r="J65" s="390" t="s">
        <v>3209</v>
      </c>
      <c r="K65" s="390"/>
      <c r="L65" s="390"/>
      <c r="M65" s="390"/>
      <c r="N65" s="390"/>
      <c r="O65" s="391"/>
      <c r="P65" s="318"/>
      <c r="Q65" s="318"/>
      <c r="R65" s="318"/>
      <c r="S65" s="318"/>
    </row>
    <row r="66" spans="2:19" ht="22" customHeight="1" x14ac:dyDescent="0.2">
      <c r="B66" s="294"/>
      <c r="C66" s="402" t="s">
        <v>3241</v>
      </c>
      <c r="D66" s="402"/>
      <c r="E66" s="403" t="s">
        <v>3140</v>
      </c>
      <c r="F66" s="403"/>
      <c r="G66" s="403"/>
      <c r="H66" s="403"/>
      <c r="I66" s="335" t="s">
        <v>3141</v>
      </c>
      <c r="J66" s="402" t="s">
        <v>3211</v>
      </c>
      <c r="K66" s="402"/>
      <c r="L66" s="402"/>
      <c r="M66" s="402"/>
      <c r="N66" s="402"/>
      <c r="O66" s="433"/>
      <c r="P66" s="318"/>
      <c r="Q66" s="318"/>
      <c r="R66" s="318"/>
      <c r="S66" s="318"/>
    </row>
    <row r="67" spans="2:19" ht="21" x14ac:dyDescent="0.2">
      <c r="B67" s="294"/>
      <c r="C67" s="390"/>
      <c r="D67" s="390"/>
      <c r="E67" s="403"/>
      <c r="F67" s="403"/>
      <c r="G67" s="403"/>
      <c r="H67" s="403"/>
      <c r="I67" s="335"/>
      <c r="J67" s="402"/>
      <c r="K67" s="402"/>
      <c r="L67" s="402"/>
      <c r="M67" s="402"/>
      <c r="N67" s="402"/>
      <c r="O67" s="433"/>
      <c r="P67" s="318"/>
      <c r="Q67" s="318"/>
      <c r="R67" s="318"/>
      <c r="S67" s="318"/>
    </row>
    <row r="68" spans="2:19" ht="21" customHeight="1" x14ac:dyDescent="0.2">
      <c r="B68" s="294"/>
      <c r="C68" s="402" t="s">
        <v>3212</v>
      </c>
      <c r="D68" s="402"/>
      <c r="E68" s="403" t="s">
        <v>3216</v>
      </c>
      <c r="F68" s="403"/>
      <c r="G68" s="403"/>
      <c r="H68" s="403"/>
      <c r="I68" s="335" t="s">
        <v>3218</v>
      </c>
      <c r="J68" s="390" t="s">
        <v>3206</v>
      </c>
      <c r="K68" s="390"/>
      <c r="L68" s="390"/>
      <c r="M68" s="390"/>
      <c r="N68" s="390"/>
      <c r="O68" s="391"/>
      <c r="P68" s="318"/>
      <c r="Q68" s="318"/>
      <c r="R68" s="318"/>
      <c r="S68" s="318"/>
    </row>
    <row r="69" spans="2:19" ht="21" customHeight="1" x14ac:dyDescent="0.2">
      <c r="B69" s="294"/>
      <c r="C69" s="390"/>
      <c r="D69" s="390"/>
      <c r="E69" s="432" t="s">
        <v>3217</v>
      </c>
      <c r="F69" s="432"/>
      <c r="G69" s="432"/>
      <c r="H69" s="432"/>
      <c r="I69" s="335"/>
      <c r="J69" s="390"/>
      <c r="K69" s="390"/>
      <c r="L69" s="390"/>
      <c r="M69" s="390"/>
      <c r="N69" s="390"/>
      <c r="O69" s="391"/>
      <c r="P69" s="318"/>
      <c r="Q69" s="318"/>
      <c r="R69" s="318"/>
      <c r="S69" s="318"/>
    </row>
    <row r="70" spans="2:19" ht="22" customHeight="1" x14ac:dyDescent="0.2">
      <c r="B70" s="294"/>
      <c r="C70" s="402" t="s">
        <v>3242</v>
      </c>
      <c r="D70" s="402"/>
      <c r="E70" s="390" t="s">
        <v>3142</v>
      </c>
      <c r="F70" s="390"/>
      <c r="G70" s="390"/>
      <c r="H70" s="390"/>
      <c r="I70" s="335" t="s">
        <v>3143</v>
      </c>
      <c r="J70" s="390" t="s">
        <v>3213</v>
      </c>
      <c r="K70" s="390"/>
      <c r="L70" s="390"/>
      <c r="M70" s="390"/>
      <c r="N70" s="390"/>
      <c r="O70" s="391"/>
      <c r="P70" s="318"/>
      <c r="Q70" s="318"/>
      <c r="R70" s="318"/>
      <c r="S70" s="318"/>
    </row>
    <row r="71" spans="2:19" ht="10" customHeight="1" x14ac:dyDescent="0.25">
      <c r="B71" s="294"/>
      <c r="C71" s="392"/>
      <c r="D71" s="392"/>
      <c r="E71" s="392"/>
      <c r="F71" s="392"/>
      <c r="G71" s="392"/>
      <c r="H71" s="392"/>
      <c r="I71" s="392"/>
      <c r="J71" s="299"/>
      <c r="K71" s="299"/>
      <c r="L71" s="295"/>
      <c r="M71" s="295"/>
      <c r="N71" s="295"/>
      <c r="O71" s="298"/>
      <c r="P71" s="318"/>
      <c r="Q71" s="318"/>
      <c r="R71" s="318"/>
      <c r="S71" s="318"/>
    </row>
    <row r="72" spans="2:19" ht="20" thickBot="1" x14ac:dyDescent="0.25">
      <c r="B72" s="426" t="s">
        <v>3156</v>
      </c>
      <c r="C72" s="427"/>
      <c r="D72" s="427"/>
      <c r="E72" s="427"/>
      <c r="F72" s="427"/>
      <c r="G72" s="427"/>
      <c r="H72" s="427"/>
      <c r="I72" s="427"/>
      <c r="J72" s="427"/>
      <c r="K72" s="427"/>
      <c r="L72" s="427"/>
      <c r="M72" s="427"/>
      <c r="N72" s="427"/>
      <c r="O72" s="428"/>
      <c r="P72" s="318"/>
      <c r="Q72" s="318"/>
      <c r="R72" s="318"/>
      <c r="S72" s="318"/>
    </row>
    <row r="73" spans="2:19" ht="25" customHeight="1" thickTop="1" x14ac:dyDescent="0.25">
      <c r="B73" s="429" t="s">
        <v>57</v>
      </c>
      <c r="C73" s="429"/>
      <c r="D73" s="429"/>
      <c r="E73" s="429"/>
      <c r="F73" s="429"/>
      <c r="G73" s="429"/>
      <c r="H73" s="429"/>
      <c r="I73" s="430"/>
      <c r="J73" s="430"/>
      <c r="K73" s="430"/>
      <c r="L73" s="430"/>
      <c r="M73" s="430"/>
      <c r="N73" s="430"/>
      <c r="O73" s="430"/>
      <c r="P73" s="318"/>
      <c r="Q73" s="318"/>
      <c r="R73" s="318"/>
      <c r="S73" s="318"/>
    </row>
    <row r="74" spans="2:19" ht="21" customHeight="1" x14ac:dyDescent="0.2">
      <c r="B74" s="302">
        <v>1</v>
      </c>
      <c r="C74" s="302"/>
      <c r="D74" s="185" t="s">
        <v>62</v>
      </c>
      <c r="E74" s="431" t="s">
        <v>3174</v>
      </c>
      <c r="F74" s="431"/>
      <c r="G74" s="431"/>
      <c r="H74" s="431"/>
      <c r="I74" s="431"/>
      <c r="J74" s="431"/>
      <c r="K74" s="431"/>
      <c r="L74" s="431"/>
      <c r="M74" s="431"/>
      <c r="N74" s="431"/>
      <c r="O74" s="431"/>
      <c r="P74" s="318"/>
      <c r="Q74" s="318"/>
      <c r="R74" s="318"/>
      <c r="S74" s="318"/>
    </row>
    <row r="75" spans="2:19" ht="16" customHeight="1" x14ac:dyDescent="0.2">
      <c r="B75" s="300"/>
      <c r="C75" s="300"/>
      <c r="D75" s="301"/>
      <c r="E75" s="431"/>
      <c r="F75" s="431"/>
      <c r="G75" s="431"/>
      <c r="H75" s="431"/>
      <c r="I75" s="431"/>
      <c r="J75" s="431"/>
      <c r="K75" s="431"/>
      <c r="L75" s="431"/>
      <c r="M75" s="431"/>
      <c r="N75" s="431"/>
      <c r="O75" s="431"/>
      <c r="P75" s="318"/>
      <c r="Q75" s="318"/>
      <c r="R75" s="318"/>
      <c r="S75" s="318"/>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P2136" s="12"/>
    </row>
  </sheetData>
  <sheetProtection algorithmName="SHA-512" hashValue="yEOSWhb9KwJTxU9L/J27VEUaHzicpxCqTBDYDLPJvPqN2B3U4YWs05sHb5ywA3gFyW33mOMMXv0u7gaEC7H6dQ==" saltValue="H+qvbQCHZy9HyRMHsTY7Pg==" spinCount="100000" sheet="1" formatColumns="0" formatRows="0" selectLockedCells="1"/>
  <mergeCells count="95">
    <mergeCell ref="T15:U16"/>
    <mergeCell ref="P10:S10"/>
    <mergeCell ref="B24:C24"/>
    <mergeCell ref="R11:S11"/>
    <mergeCell ref="P11:Q11"/>
    <mergeCell ref="B20:C20"/>
    <mergeCell ref="B10:O10"/>
    <mergeCell ref="B12:I12"/>
    <mergeCell ref="P29:S29"/>
    <mergeCell ref="T17:U17"/>
    <mergeCell ref="B26:J26"/>
    <mergeCell ref="L27:N27"/>
    <mergeCell ref="R17:S17"/>
    <mergeCell ref="B27:J27"/>
    <mergeCell ref="E25:I25"/>
    <mergeCell ref="B25:C25"/>
    <mergeCell ref="B23:C23"/>
    <mergeCell ref="E23:I23"/>
    <mergeCell ref="E29:J29"/>
    <mergeCell ref="J1:N7"/>
    <mergeCell ref="E24:I24"/>
    <mergeCell ref="P17:Q17"/>
    <mergeCell ref="B18:C18"/>
    <mergeCell ref="L17:O17"/>
    <mergeCell ref="E17:J17"/>
    <mergeCell ref="B13:I13"/>
    <mergeCell ref="B14:I14"/>
    <mergeCell ref="B19:C19"/>
    <mergeCell ref="E19:I19"/>
    <mergeCell ref="E22:I22"/>
    <mergeCell ref="B16:J16"/>
    <mergeCell ref="B11:J11"/>
    <mergeCell ref="E20:I20"/>
    <mergeCell ref="B15:I15"/>
    <mergeCell ref="B8:J8"/>
    <mergeCell ref="P8:S9"/>
    <mergeCell ref="B22:C22"/>
    <mergeCell ref="E18:I18"/>
    <mergeCell ref="E21:I21"/>
    <mergeCell ref="B21:C21"/>
    <mergeCell ref="B9:I9"/>
    <mergeCell ref="J33:O33"/>
    <mergeCell ref="B33:C33"/>
    <mergeCell ref="B34:C34"/>
    <mergeCell ref="E34:I34"/>
    <mergeCell ref="J34:O34"/>
    <mergeCell ref="E30:I30"/>
    <mergeCell ref="J30:O30"/>
    <mergeCell ref="E31:I31"/>
    <mergeCell ref="J31:O31"/>
    <mergeCell ref="B32:C32"/>
    <mergeCell ref="E32:I32"/>
    <mergeCell ref="J32:O32"/>
    <mergeCell ref="B30:C30"/>
    <mergeCell ref="B73:O73"/>
    <mergeCell ref="E74:O75"/>
    <mergeCell ref="E69:H69"/>
    <mergeCell ref="C66:D66"/>
    <mergeCell ref="J66:O67"/>
    <mergeCell ref="C56:O56"/>
    <mergeCell ref="B58:O58"/>
    <mergeCell ref="C59:O59"/>
    <mergeCell ref="E60:H60"/>
    <mergeCell ref="B72:O72"/>
    <mergeCell ref="C63:D63"/>
    <mergeCell ref="C64:D64"/>
    <mergeCell ref="C65:D65"/>
    <mergeCell ref="C61:D61"/>
    <mergeCell ref="E66:H67"/>
    <mergeCell ref="P30:S37"/>
    <mergeCell ref="C68:D68"/>
    <mergeCell ref="E68:H68"/>
    <mergeCell ref="C70:D70"/>
    <mergeCell ref="B35:C35"/>
    <mergeCell ref="E33:I33"/>
    <mergeCell ref="B31:C31"/>
    <mergeCell ref="C45:O45"/>
    <mergeCell ref="C46:O46"/>
    <mergeCell ref="D47:O48"/>
    <mergeCell ref="D49:O49"/>
    <mergeCell ref="B51:O51"/>
    <mergeCell ref="B52:O52"/>
    <mergeCell ref="B39:O39"/>
    <mergeCell ref="D40:O41"/>
    <mergeCell ref="C42:O42"/>
    <mergeCell ref="B44:H44"/>
    <mergeCell ref="C54:O55"/>
    <mergeCell ref="E35:I35"/>
    <mergeCell ref="J35:O35"/>
    <mergeCell ref="E37:O37"/>
    <mergeCell ref="B53:O53"/>
    <mergeCell ref="B38:O38"/>
    <mergeCell ref="B36:C36"/>
    <mergeCell ref="E36:I36"/>
    <mergeCell ref="J36:O36"/>
  </mergeCells>
  <phoneticPr fontId="6" type="noConversion"/>
  <conditionalFormatting sqref="U18:U19 U24:U25 U21">
    <cfRule type="cellIs" dxfId="137" priority="54" operator="equal">
      <formula>0</formula>
    </cfRule>
  </conditionalFormatting>
  <conditionalFormatting sqref="U20:U21">
    <cfRule type="cellIs" dxfId="136" priority="53" operator="equal">
      <formula>0</formula>
    </cfRule>
  </conditionalFormatting>
  <conditionalFormatting sqref="L20:M21">
    <cfRule type="cellIs" dxfId="135" priority="51" operator="lessThan">
      <formula>0</formula>
    </cfRule>
  </conditionalFormatting>
  <conditionalFormatting sqref="N18">
    <cfRule type="cellIs" dxfId="134" priority="49" operator="equal">
      <formula>0</formula>
    </cfRule>
  </conditionalFormatting>
  <conditionalFormatting sqref="O18">
    <cfRule type="expression" dxfId="133" priority="48">
      <formula>N18=0</formula>
    </cfRule>
  </conditionalFormatting>
  <conditionalFormatting sqref="N19">
    <cfRule type="cellIs" dxfId="132" priority="47" operator="equal">
      <formula>0</formula>
    </cfRule>
  </conditionalFormatting>
  <conditionalFormatting sqref="O19">
    <cfRule type="expression" dxfId="131" priority="46">
      <formula>N19=0</formula>
    </cfRule>
  </conditionalFormatting>
  <conditionalFormatting sqref="N20:N21">
    <cfRule type="cellIs" dxfId="130" priority="43" operator="lessThan">
      <formula>0</formula>
    </cfRule>
  </conditionalFormatting>
  <conditionalFormatting sqref="O20">
    <cfRule type="expression" dxfId="129" priority="42">
      <formula>N20&lt;0</formula>
    </cfRule>
  </conditionalFormatting>
  <conditionalFormatting sqref="N22 N24">
    <cfRule type="cellIs" dxfId="128" priority="41" operator="equal">
      <formula>0</formula>
    </cfRule>
  </conditionalFormatting>
  <conditionalFormatting sqref="O22 O24">
    <cfRule type="expression" dxfId="127" priority="40">
      <formula>N22=0</formula>
    </cfRule>
  </conditionalFormatting>
  <conditionalFormatting sqref="N25">
    <cfRule type="cellIs" dxfId="126" priority="35" operator="equal">
      <formula>0</formula>
    </cfRule>
  </conditionalFormatting>
  <conditionalFormatting sqref="O25">
    <cfRule type="expression" dxfId="125" priority="34">
      <formula>N25=0</formula>
    </cfRule>
  </conditionalFormatting>
  <conditionalFormatting sqref="R18 R20">
    <cfRule type="expression" dxfId="124" priority="33">
      <formula>N18=0</formula>
    </cfRule>
  </conditionalFormatting>
  <conditionalFormatting sqref="S18 S20">
    <cfRule type="expression" dxfId="123" priority="32">
      <formula>N18=0</formula>
    </cfRule>
  </conditionalFormatting>
  <conditionalFormatting sqref="R19">
    <cfRule type="expression" dxfId="122" priority="31">
      <formula>N19=0</formula>
    </cfRule>
  </conditionalFormatting>
  <conditionalFormatting sqref="S19">
    <cfRule type="expression" dxfId="121" priority="30">
      <formula>N19=0</formula>
    </cfRule>
  </conditionalFormatting>
  <conditionalFormatting sqref="R22">
    <cfRule type="expression" dxfId="120" priority="25">
      <formula>N22=0</formula>
    </cfRule>
  </conditionalFormatting>
  <conditionalFormatting sqref="S22">
    <cfRule type="expression" dxfId="119" priority="24">
      <formula>N22=0</formula>
    </cfRule>
  </conditionalFormatting>
  <conditionalFormatting sqref="R24">
    <cfRule type="expression" dxfId="118" priority="21">
      <formula>N24=0</formula>
    </cfRule>
  </conditionalFormatting>
  <conditionalFormatting sqref="S24">
    <cfRule type="expression" dxfId="117" priority="20">
      <formula>N24=0</formula>
    </cfRule>
  </conditionalFormatting>
  <conditionalFormatting sqref="R21">
    <cfRule type="expression" dxfId="116" priority="19">
      <formula>N21=0</formula>
    </cfRule>
  </conditionalFormatting>
  <conditionalFormatting sqref="S21">
    <cfRule type="expression" dxfId="115" priority="18">
      <formula>N21=0</formula>
    </cfRule>
  </conditionalFormatting>
  <conditionalFormatting sqref="R25">
    <cfRule type="expression" dxfId="114" priority="17">
      <formula>N25=0</formula>
    </cfRule>
  </conditionalFormatting>
  <conditionalFormatting sqref="S25">
    <cfRule type="expression" dxfId="113" priority="16">
      <formula>N25=0</formula>
    </cfRule>
  </conditionalFormatting>
  <conditionalFormatting sqref="N21">
    <cfRule type="cellIs" dxfId="112" priority="15" operator="equal">
      <formula>0</formula>
    </cfRule>
  </conditionalFormatting>
  <conditionalFormatting sqref="N15">
    <cfRule type="cellIs" dxfId="111" priority="14" operator="equal">
      <formula>0</formula>
    </cfRule>
  </conditionalFormatting>
  <conditionalFormatting sqref="O21">
    <cfRule type="expression" dxfId="110" priority="13">
      <formula>N21=0</formula>
    </cfRule>
  </conditionalFormatting>
  <conditionalFormatting sqref="O15">
    <cfRule type="expression" dxfId="109" priority="12">
      <formula>N15=0</formula>
    </cfRule>
  </conditionalFormatting>
  <conditionalFormatting sqref="U22">
    <cfRule type="cellIs" dxfId="108" priority="11" operator="equal">
      <formula>0</formula>
    </cfRule>
  </conditionalFormatting>
  <conditionalFormatting sqref="N23">
    <cfRule type="cellIs" dxfId="107" priority="10" operator="equal">
      <formula>0</formula>
    </cfRule>
  </conditionalFormatting>
  <conditionalFormatting sqref="O23">
    <cfRule type="expression" dxfId="106" priority="9">
      <formula>N23=0</formula>
    </cfRule>
  </conditionalFormatting>
  <conditionalFormatting sqref="R23">
    <cfRule type="expression" dxfId="105" priority="8">
      <formula>N23=0</formula>
    </cfRule>
  </conditionalFormatting>
  <conditionalFormatting sqref="S23">
    <cfRule type="expression" dxfId="104" priority="7">
      <formula>N23=0</formula>
    </cfRule>
  </conditionalFormatting>
  <conditionalFormatting sqref="U23">
    <cfRule type="cellIs" dxfId="103" priority="6" operator="equal">
      <formula>0</formula>
    </cfRule>
  </conditionalFormatting>
  <dataValidations count="5">
    <dataValidation errorStyle="warning" allowBlank="1" showInputMessage="1" showErrorMessage="1" sqref="L12:M13 M21:M25" xr:uid="{00000000-0002-0000-0000-000000000000}"/>
    <dataValidation type="list" allowBlank="1" showInputMessage="1" showErrorMessage="1" sqref="B30 B31:C36 C19:C21 B18:B21 B21:C25" xr:uid="{00000000-0002-0000-0000-000002000000}">
      <formula1>Nummern</formula1>
    </dataValidation>
    <dataValidation type="list" allowBlank="1" showDropDown="1" showInputMessage="1" showErrorMessage="1" sqref="E30:E37 E18:E25" xr:uid="{00000000-0002-0000-0000-000003000000}">
      <formula1>Namen</formula1>
    </dataValidation>
    <dataValidation allowBlank="1" sqref="B13:I13" xr:uid="{00000000-0002-0000-0000-000004000000}"/>
    <dataValidation allowBlank="1" showInputMessage="1" sqref="L30:O30 J30:K36" xr:uid="{EC45A963-CA80-EB47-9CEB-DA52A07B6743}"/>
  </dataValidations>
  <hyperlinks>
    <hyperlink ref="B13:I13" location="'AGAGEL® Emulsion'!A1" display="AGAGEL® 600 Emulsion" xr:uid="{00000000-0004-0000-0000-000003000000}"/>
    <hyperlink ref="D37" r:id="rId1" xr:uid="{BE87B273-F31F-8C48-B1F5-B8DE877F0AC2}"/>
    <hyperlink ref="C40" location="'AGAGEL® Emulsion'!A1" display="📌" xr:uid="{B7B1F203-7DE4-CA45-91F8-80BD5AEA82E3}"/>
    <hyperlink ref="D74" r:id="rId2" xr:uid="{02B471A8-E82C-9A48-9408-4AD731E62C14}"/>
    <hyperlink ref="C47" location="'Process-Flow-Frankfurter'!A1" display="📌" xr:uid="{9D162CA5-C592-2541-B534-C2E53884D44F}"/>
    <hyperlink ref="D49:I49" r:id="rId3" display="Bowl Chopper Process-Flow Video on youtube" xr:uid="{34BB9FFC-D6B0-7941-9A9F-1B7396565445}"/>
    <hyperlink ref="D49:O49"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7"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J18:K21 J21:J25</xm:sqref>
        </x14:dataValidation>
        <x14:dataValidation type="list" allowBlank="1" xr:uid="{00000000-0002-0000-0000-000006000000}">
          <x14:formula1>
            <xm:f>Functions!$R$3:$R$23</xm:f>
          </x14:formula1>
          <xm:sqref>K12 J12:J13</xm:sqref>
        </x14:dataValidation>
        <x14:dataValidation type="list" allowBlank="1" showInputMessage="1" showErrorMessage="1" xr:uid="{4CCC1730-6152-AE4C-BA5D-02DB565456D0}">
          <x14:formula1>
            <xm:f>Functions!$Z$17:$Z$20</xm:f>
          </x14:formula1>
          <xm:sqref>L21</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7FAAA8EB-976F-F04B-BFCF-6811040138C1}">
          <x14:formula1>
            <xm:f>Functions!$V$11:$V$12</xm:f>
          </x14:formula1>
          <xm:sqref>L22:L25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52" t="s">
        <v>3225</v>
      </c>
      <c r="C6" s="452"/>
      <c r="D6" s="452"/>
      <c r="E6" s="452"/>
      <c r="F6" s="452"/>
      <c r="G6" s="452"/>
      <c r="H6" s="452"/>
      <c r="I6" s="438" t="s">
        <v>3162</v>
      </c>
      <c r="J6" s="438"/>
      <c r="K6" s="438"/>
      <c r="L6" s="438"/>
      <c r="M6" s="438"/>
    </row>
    <row r="7" spans="2:18" ht="25" customHeight="1" thickBot="1" x14ac:dyDescent="0.3">
      <c r="B7" s="496" t="s">
        <v>1482</v>
      </c>
      <c r="C7" s="496"/>
      <c r="D7" s="496"/>
      <c r="E7" s="496"/>
      <c r="F7" s="496"/>
      <c r="G7" s="496"/>
      <c r="H7" s="496"/>
      <c r="I7" s="460" t="s">
        <v>3183</v>
      </c>
      <c r="J7" s="461"/>
      <c r="K7" s="461"/>
      <c r="L7" s="461"/>
      <c r="M7" s="461"/>
    </row>
    <row r="8" spans="2:18" ht="24" customHeight="1" x14ac:dyDescent="0.25">
      <c r="B8" s="449" t="s">
        <v>1470</v>
      </c>
      <c r="C8" s="449"/>
      <c r="D8" s="449"/>
      <c r="E8" s="449"/>
      <c r="F8" s="449"/>
      <c r="G8" s="177">
        <f>IF(Emulsion&lt;&gt;"",Emulsion,#REF!)</f>
        <v>0</v>
      </c>
      <c r="H8" s="36" t="s">
        <v>0</v>
      </c>
      <c r="I8" s="462" t="s">
        <v>3197</v>
      </c>
      <c r="J8" s="462"/>
      <c r="K8" s="462"/>
      <c r="L8" s="462" t="s">
        <v>3066</v>
      </c>
      <c r="M8" s="462"/>
    </row>
    <row r="9" spans="2:18" x14ac:dyDescent="0.25">
      <c r="B9" s="497" t="s">
        <v>115</v>
      </c>
      <c r="C9" s="498"/>
      <c r="D9" s="499"/>
      <c r="E9" s="42" t="s">
        <v>3072</v>
      </c>
      <c r="F9" s="270">
        <f>IF(G9&lt;&gt;0,G9/$G$8,0)</f>
        <v>0</v>
      </c>
      <c r="G9" s="38">
        <f>IF(B9="Chicken Skin",G13*20,G13*13)</f>
        <v>0</v>
      </c>
      <c r="H9" s="39" t="s">
        <v>0</v>
      </c>
      <c r="I9" s="471">
        <f>IF(FatReplacement="Vegetable Oil",0.9,IF(FatReplacement="Chicken Skin",1,""))</f>
        <v>1</v>
      </c>
      <c r="J9" s="471"/>
      <c r="K9" s="33" t="str">
        <f>IF(I9&lt;&gt;"","EUR","")</f>
        <v>EUR</v>
      </c>
      <c r="L9" s="27">
        <f>IF(I9&lt;&gt;"",ROUND(I9*G9,2),"")</f>
        <v>0</v>
      </c>
      <c r="M9" s="28" t="str">
        <f>IF(L9&lt;&gt;"","EUR","")</f>
        <v>EUR</v>
      </c>
    </row>
    <row r="10" spans="2:18" x14ac:dyDescent="0.25">
      <c r="B10" s="405" t="s">
        <v>1477</v>
      </c>
      <c r="C10" s="405"/>
      <c r="D10" s="405"/>
      <c r="E10" s="37"/>
      <c r="F10" s="270">
        <f>IF(G10&lt;&gt;0,G10/$G$8,0)</f>
        <v>0</v>
      </c>
      <c r="G10" s="38">
        <f>G9</f>
        <v>0</v>
      </c>
      <c r="H10" s="171" t="s">
        <v>0</v>
      </c>
      <c r="I10" s="471">
        <v>0.01</v>
      </c>
      <c r="J10" s="471"/>
      <c r="K10" s="33" t="str">
        <f>IF(I10&lt;&gt;"","EUR","")</f>
        <v>EUR</v>
      </c>
      <c r="L10" s="27">
        <f>IF(I10&lt;&gt;"",ROUND(I10*G10,2),"")</f>
        <v>0</v>
      </c>
      <c r="M10" s="28" t="str">
        <f>IF(L10&lt;&gt;"","EUR","")</f>
        <v>EUR</v>
      </c>
    </row>
    <row r="11" spans="2:18" s="7" customFormat="1" ht="25" customHeight="1" x14ac:dyDescent="0.2">
      <c r="B11" s="472" t="s">
        <v>1489</v>
      </c>
      <c r="C11" s="472"/>
      <c r="D11" s="472"/>
      <c r="E11" s="472"/>
      <c r="F11" s="195"/>
      <c r="G11" s="196">
        <f>SUM(G9:G10)</f>
        <v>0</v>
      </c>
      <c r="H11" s="197" t="s">
        <v>0</v>
      </c>
      <c r="I11" s="504">
        <f>IF(L11&lt;&gt;0,"ø "&amp;ROUND(L11/SUM(G9:G10),3),0)</f>
        <v>0</v>
      </c>
      <c r="J11" s="504"/>
      <c r="K11" s="162" t="s">
        <v>3170</v>
      </c>
      <c r="L11" s="163">
        <f>SUM(L9:L10)</f>
        <v>0</v>
      </c>
      <c r="M11" s="162" t="str">
        <f>M13</f>
        <v>EUR</v>
      </c>
    </row>
    <row r="12" spans="2:18" ht="25" customHeight="1" x14ac:dyDescent="0.25">
      <c r="B12" s="198" t="s">
        <v>35</v>
      </c>
      <c r="C12" s="199" t="s">
        <v>45</v>
      </c>
      <c r="D12" s="445" t="s">
        <v>3171</v>
      </c>
      <c r="E12" s="445"/>
      <c r="F12" s="495" t="s">
        <v>93</v>
      </c>
      <c r="G12" s="495"/>
      <c r="H12" s="495"/>
      <c r="I12" s="443" t="s">
        <v>3196</v>
      </c>
      <c r="J12" s="443"/>
      <c r="K12" s="443"/>
      <c r="L12" s="507" t="s">
        <v>3066</v>
      </c>
      <c r="M12" s="507"/>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0</v>
      </c>
      <c r="H13" s="179" t="str">
        <f t="shared" ref="H13" si="0">IF(G13&lt;&gt;"","kg","")</f>
        <v>kg</v>
      </c>
      <c r="I13" s="465">
        <v>9.4</v>
      </c>
      <c r="J13" s="465"/>
      <c r="K13" s="33" t="str">
        <f>IF(I13&lt;&gt;"","EUR","")</f>
        <v>EUR</v>
      </c>
      <c r="L13" s="27">
        <f>IF(I13&lt;&gt;"",ROUND(I13*G13,2),"")</f>
        <v>0</v>
      </c>
      <c r="M13" s="28" t="str">
        <f>IF(L13&lt;&gt;"","EUR","")</f>
        <v>EUR</v>
      </c>
    </row>
    <row r="14" spans="2:18" ht="35" customHeight="1" thickBot="1" x14ac:dyDescent="0.3">
      <c r="B14" s="456" t="s">
        <v>3074</v>
      </c>
      <c r="C14" s="456"/>
      <c r="D14" s="456"/>
      <c r="E14" s="456"/>
      <c r="F14" s="455">
        <f>ROUND(SUM(G9:G10,G13),2)</f>
        <v>0</v>
      </c>
      <c r="G14" s="455"/>
      <c r="H14" s="180" t="s">
        <v>0</v>
      </c>
      <c r="I14" s="466" t="str">
        <f>IF(L14&lt;&gt;0,L14/G8,"0,00")</f>
        <v>0,00</v>
      </c>
      <c r="J14" s="467"/>
      <c r="K14" s="307" t="str">
        <f>"€ / kg"</f>
        <v>€ / kg</v>
      </c>
      <c r="L14" s="308">
        <f>SUM(L11,L13)</f>
        <v>0</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468" t="s">
        <v>3137</v>
      </c>
      <c r="E16" s="468"/>
      <c r="F16" s="311"/>
      <c r="G16" s="311"/>
      <c r="H16" s="311"/>
      <c r="I16" s="453" t="s">
        <v>3195</v>
      </c>
      <c r="J16" s="453"/>
      <c r="K16" s="453"/>
      <c r="L16" s="453"/>
      <c r="M16" s="453"/>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503" t="s">
        <v>3176</v>
      </c>
      <c r="J17" s="503"/>
      <c r="K17" s="503"/>
      <c r="L17" s="503"/>
      <c r="M17" s="503"/>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503"/>
      <c r="J18" s="503"/>
      <c r="K18" s="503"/>
      <c r="L18" s="503"/>
      <c r="M18" s="503"/>
      <c r="N18" s="1"/>
      <c r="O18" s="1"/>
      <c r="P18" s="1"/>
      <c r="Q18" s="1"/>
    </row>
    <row r="19" spans="2:17" customFormat="1" x14ac:dyDescent="0.25">
      <c r="B19" s="207"/>
      <c r="C19" s="208" t="s">
        <v>62</v>
      </c>
      <c r="D19" s="470" t="s">
        <v>3070</v>
      </c>
      <c r="E19" s="470"/>
      <c r="F19" s="470"/>
      <c r="G19" s="470"/>
      <c r="H19" s="470"/>
      <c r="I19" s="503"/>
      <c r="J19" s="503"/>
      <c r="K19" s="503"/>
      <c r="L19" s="503"/>
      <c r="M19" s="503"/>
      <c r="N19" s="1"/>
      <c r="O19" s="1"/>
      <c r="P19" s="1"/>
      <c r="Q19" s="1"/>
    </row>
    <row r="20" spans="2:17" customFormat="1" ht="10" customHeight="1" thickBot="1" x14ac:dyDescent="0.3">
      <c r="B20" s="508"/>
      <c r="C20" s="508"/>
      <c r="D20" s="508"/>
      <c r="E20" s="508"/>
      <c r="F20" s="508"/>
      <c r="G20" s="508"/>
      <c r="H20" s="508"/>
      <c r="I20" s="503"/>
      <c r="J20" s="503"/>
      <c r="K20" s="503"/>
      <c r="L20" s="503"/>
      <c r="M20" s="503"/>
    </row>
    <row r="21" spans="2:17" customFormat="1" ht="25" thickTop="1" x14ac:dyDescent="0.2">
      <c r="B21" s="415" t="str">
        <f>IF(FatReplacement="Vegetable Oil","1. Preparation",IF(FatReplacement="Chicken Skin","1. Mincing",""))</f>
        <v>1. Mincing</v>
      </c>
      <c r="C21" s="416"/>
      <c r="D21" s="416"/>
      <c r="E21" s="416"/>
      <c r="F21" s="416"/>
      <c r="G21" s="416"/>
      <c r="H21" s="417"/>
      <c r="I21" s="503"/>
      <c r="J21" s="503"/>
      <c r="K21" s="503"/>
      <c r="L21" s="503"/>
      <c r="M21" s="503"/>
    </row>
    <row r="22" spans="2:17" customFormat="1" ht="25" customHeight="1" thickBot="1" x14ac:dyDescent="0.25">
      <c r="B22" s="291" t="str">
        <f>IF(FatReplacement="Chicken Skin",Functions!AD3,Functions!AG3)</f>
        <v>-</v>
      </c>
      <c r="C22" s="418" t="str">
        <f>IF(FatReplacement="Chicken Skin",Functions!AE3,IF(FatReplacement="Vegetable Oil",Functions!AH3,""))</f>
        <v>Mince the Chicken Skin though a 3mm plate and place into Bowl Cutter.</v>
      </c>
      <c r="D22" s="418"/>
      <c r="E22" s="418"/>
      <c r="F22" s="418"/>
      <c r="G22" s="418"/>
      <c r="H22" s="419"/>
      <c r="I22" s="503"/>
      <c r="J22" s="503"/>
      <c r="K22" s="503"/>
      <c r="L22" s="503"/>
      <c r="M22" s="503"/>
    </row>
    <row r="23" spans="2:17" customFormat="1" ht="10" customHeight="1" thickTop="1" thickBot="1" x14ac:dyDescent="0.25">
      <c r="B23" s="303"/>
      <c r="C23" s="304"/>
      <c r="D23" s="304"/>
      <c r="E23" s="304"/>
      <c r="F23" s="304"/>
      <c r="G23" s="304"/>
      <c r="H23" s="304"/>
      <c r="I23" s="503"/>
      <c r="J23" s="503"/>
      <c r="K23" s="503"/>
      <c r="L23" s="503"/>
      <c r="M23" s="503"/>
    </row>
    <row r="24" spans="2:17" customFormat="1" ht="25" thickTop="1" x14ac:dyDescent="0.2">
      <c r="B24" s="394" t="s">
        <v>3157</v>
      </c>
      <c r="C24" s="395"/>
      <c r="D24" s="395"/>
      <c r="E24" s="395"/>
      <c r="F24" s="395"/>
      <c r="G24" s="395"/>
      <c r="H24" s="469"/>
      <c r="I24" s="503"/>
      <c r="J24" s="503"/>
      <c r="K24" s="503"/>
      <c r="L24" s="503"/>
      <c r="M24" s="503"/>
    </row>
    <row r="25" spans="2:17" customFormat="1" ht="19" x14ac:dyDescent="0.2">
      <c r="B25" s="283" t="str">
        <f>IF(FatReplacement="Chicken Skin",Functions!AD4,Functions!AG4)</f>
        <v>-</v>
      </c>
      <c r="C25" s="407" t="str">
        <f>IF(FatReplacement="Chicken Skin",Functions!AE4,IF(FatReplacement="Vegetable Oil",Functions!AH4,""))</f>
        <v>Run the Bowl Chopper for approx. 10 min at 2500-3000 RPM.</v>
      </c>
      <c r="D25" s="407"/>
      <c r="E25" s="407"/>
      <c r="F25" s="407"/>
      <c r="G25" s="407"/>
      <c r="H25" s="408"/>
      <c r="I25" s="503"/>
      <c r="J25" s="503"/>
      <c r="K25" s="503"/>
      <c r="L25" s="503"/>
      <c r="M25" s="503"/>
    </row>
    <row r="26" spans="2:17" customFormat="1" ht="19" x14ac:dyDescent="0.2">
      <c r="B26" s="283" t="str">
        <f>IF(FatReplacement="Chicken Skin",Functions!AD5,Functions!AG5)</f>
        <v>-</v>
      </c>
      <c r="C26" s="407" t="str">
        <f>IF(FatReplacement="Chicken Skin",Functions!AE5,IF(FatReplacement="Vegetable Oil",Functions!AH5,""))</f>
        <v>Add the Flaked Ice and run for another 10-15 turns at 3000 RPM.</v>
      </c>
      <c r="D26" s="407"/>
      <c r="E26" s="407"/>
      <c r="F26" s="407"/>
      <c r="G26" s="407"/>
      <c r="H26" s="408"/>
      <c r="I26" s="205"/>
      <c r="J26" s="205"/>
      <c r="K26" s="205"/>
      <c r="L26" s="205"/>
      <c r="M26" s="205"/>
    </row>
    <row r="27" spans="2:17" customFormat="1" ht="19" customHeight="1" x14ac:dyDescent="0.25">
      <c r="B27" s="283" t="str">
        <f>IF(FatReplacement="Chicken Skin",Functions!AD6,Functions!AG6)</f>
        <v>-</v>
      </c>
      <c r="C27" s="407" t="str">
        <f>IF(FatReplacement="Chicken Skin",Functions!AE6,IF(FatReplacement="Vegetable Oil",Functions!AH6,""))</f>
        <v>Add the AGAGEL® 600 slowly whilst chopping.</v>
      </c>
      <c r="D27" s="407"/>
      <c r="E27" s="407"/>
      <c r="F27" s="407"/>
      <c r="G27" s="407"/>
      <c r="H27" s="408"/>
      <c r="I27" s="1"/>
      <c r="J27" s="1"/>
      <c r="K27" s="1"/>
      <c r="L27" s="1"/>
      <c r="M27" s="1"/>
    </row>
    <row r="28" spans="2:17" customFormat="1" ht="29" customHeight="1" thickBot="1" x14ac:dyDescent="0.3">
      <c r="B28" s="305" t="str">
        <f>IF(FatReplacement="Chicken Skin",Functions!AD7,Functions!AG7)</f>
        <v>-</v>
      </c>
      <c r="C28" s="505" t="str">
        <f>IF(FatReplacement="Chicken Skin",Functions!AE7,IF(FatReplacement="Vegetable Oil",Functions!AH7,""))</f>
        <v>Keep chopping until reaching 10 °C and the gel is formed.</v>
      </c>
      <c r="D28" s="505"/>
      <c r="E28" s="505"/>
      <c r="F28" s="505"/>
      <c r="G28" s="505"/>
      <c r="H28" s="506"/>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15" t="s">
        <v>3159</v>
      </c>
      <c r="C30" s="416"/>
      <c r="D30" s="416"/>
      <c r="E30" s="416"/>
      <c r="F30" s="416"/>
      <c r="G30" s="416"/>
      <c r="H30" s="417"/>
      <c r="I30" s="205"/>
      <c r="J30" s="205"/>
      <c r="K30" s="205"/>
      <c r="L30" s="205"/>
      <c r="M30" s="205"/>
    </row>
    <row r="31" spans="2:17" ht="19" customHeight="1" x14ac:dyDescent="0.25">
      <c r="B31" s="290" t="str">
        <f>IF(FatReplacement="Chicken Skin",Functions!AD8,Functions!AG8)</f>
        <v>-</v>
      </c>
      <c r="C31" s="396" t="str">
        <f>IF(FatReplacement="Chicken Skin",Functions!AE8,IF(FatReplacement="Vegetable Oil",Functions!AH8,""))</f>
        <v>Remove the Gel from the Bowl Chopper into trays or fi Sundries' E2 Meat Boxes.</v>
      </c>
      <c r="D31" s="396"/>
      <c r="E31" s="396"/>
      <c r="F31" s="396"/>
      <c r="G31" s="396"/>
      <c r="H31" s="397"/>
    </row>
    <row r="32" spans="2:17" ht="19" customHeight="1" x14ac:dyDescent="0.25">
      <c r="B32" s="290" t="str">
        <f>IF(FatReplacement="Chicken Skin",Functions!AD9,Functions!AG9)</f>
        <v>-</v>
      </c>
      <c r="C32" s="396" t="str">
        <f>IF(FatReplacement="Chicken Skin",Functions!AE9,IF(FatReplacement="Vegetable Oil",Functions!AH9,""))</f>
        <v>Chill at 4 °C and allow to rest and stabilize overnight.</v>
      </c>
      <c r="D32" s="396"/>
      <c r="E32" s="396"/>
      <c r="F32" s="396"/>
      <c r="G32" s="396"/>
      <c r="H32" s="397"/>
    </row>
    <row r="33" spans="2:8" ht="25" customHeight="1" x14ac:dyDescent="0.25">
      <c r="B33" s="290" t="str">
        <f>IF(FatReplacement="Chicken Skin",Functions!AD10,Functions!AG10)</f>
        <v>-</v>
      </c>
      <c r="C33" s="396" t="str">
        <f>IF(FatReplacement="Chicken Skin",Functions!AE10,IF(FatReplacement="Vegetable Oil",Functions!AH10,""))</f>
        <v>Target result: A firm and solid Gel.</v>
      </c>
      <c r="D33" s="396"/>
      <c r="E33" s="396"/>
      <c r="F33" s="396"/>
      <c r="G33" s="396"/>
      <c r="H33" s="397"/>
    </row>
    <row r="34" spans="2:8" ht="22" customHeight="1" thickBot="1" x14ac:dyDescent="0.3">
      <c r="B34" s="500" t="str">
        <f>IF(FatReplacement="Chicken Skin",Functions!AE11,IF(FatReplacement="Vegetable Oil",Functions!AH11,""))</f>
        <v>E2 Meat Boxes can be moved on fi Sundries' Rolly CNS with Tilting Option.</v>
      </c>
      <c r="C34" s="501"/>
      <c r="D34" s="501"/>
      <c r="E34" s="501"/>
      <c r="F34" s="501"/>
      <c r="G34" s="501"/>
      <c r="H34" s="502"/>
    </row>
    <row r="35" spans="2:8" ht="23" thickTop="1" thickBot="1" x14ac:dyDescent="0.3">
      <c r="B35" s="67"/>
      <c r="C35" s="90"/>
      <c r="D35" s="68"/>
      <c r="E35" s="68"/>
      <c r="F35" s="68"/>
      <c r="G35" s="68"/>
      <c r="H35" s="68"/>
    </row>
    <row r="36" spans="2:8" ht="38" customHeight="1" x14ac:dyDescent="0.25">
      <c r="B36" s="483" t="str">
        <f>"Emulsion with "&amp;FatReplacement</f>
        <v>Emulsion with Chicken Skin</v>
      </c>
      <c r="C36" s="484"/>
      <c r="D36" s="484"/>
      <c r="E36" s="484"/>
      <c r="F36" s="484"/>
      <c r="G36" s="484"/>
      <c r="H36" s="485"/>
    </row>
    <row r="37" spans="2:8" ht="32" customHeight="1" x14ac:dyDescent="0.25">
      <c r="B37" s="488" t="s">
        <v>1495</v>
      </c>
      <c r="C37" s="489"/>
      <c r="D37" s="490"/>
      <c r="E37" s="489" t="s">
        <v>1496</v>
      </c>
      <c r="F37" s="489"/>
      <c r="G37" s="489"/>
      <c r="H37" s="491"/>
    </row>
    <row r="38" spans="2:8" x14ac:dyDescent="0.25">
      <c r="B38" s="480" t="str">
        <f>IF(FatReplacement="Chicken Skin",Functions!AD13,IF(FatReplacement="Vegetable Oil",Functions!AG13,""))</f>
        <v>Very firm emulsion structure, owing to high collagen content in Chicken Skin</v>
      </c>
      <c r="C38" s="481"/>
      <c r="D38" s="482"/>
      <c r="E38" s="476" t="str">
        <f>IF(FatReplacement="Chicken Skin",Functions!AE13,IF(FatReplacement="Vegetable Oil",Functions!AH13,""))</f>
        <v>Quality inconsistancy of Chicken Skin</v>
      </c>
      <c r="F38" s="476"/>
      <c r="G38" s="476"/>
      <c r="H38" s="477"/>
    </row>
    <row r="39" spans="2:8" x14ac:dyDescent="0.25">
      <c r="B39" s="492" t="str">
        <f>IF(FatReplacement="Chicken Skin",Functions!AD14,IF(FatReplacement="Vegetable Oil",Functions!AG14,""))</f>
        <v>No additional ingredient declaration necassary</v>
      </c>
      <c r="C39" s="493"/>
      <c r="D39" s="494"/>
      <c r="E39" s="486" t="str">
        <f>IF(FatReplacement="Chicken Skin",Functions!AE14,IF(FatReplacement="Vegetable Oil",Functions!AH14,""))</f>
        <v>Bowl Chopper required</v>
      </c>
      <c r="F39" s="486"/>
      <c r="G39" s="486"/>
      <c r="H39" s="487"/>
    </row>
    <row r="40" spans="2:8" x14ac:dyDescent="0.25">
      <c r="B40" s="480" t="str">
        <f>IF(FatReplacement="Chicken Skin",Functions!AD15,IF(FatReplacement="Vegetable Oil",Functions!AG15,""))</f>
        <v>High percentage of Chicken Skin emulsion possible in the final product</v>
      </c>
      <c r="C40" s="481"/>
      <c r="D40" s="482"/>
      <c r="E40" s="476" t="str">
        <f>IF(FatReplacement="Chicken Skin",Functions!AE15,IF(FatReplacement="Vegetable Oil",Functions!AH15,""))</f>
        <v>Not suitable for premium products</v>
      </c>
      <c r="F40" s="476"/>
      <c r="G40" s="476"/>
      <c r="H40" s="477"/>
    </row>
    <row r="41" spans="2:8" ht="22" thickBot="1" x14ac:dyDescent="0.3">
      <c r="B41" s="473" t="str">
        <f>IF(FatReplacement="Chicken Skin",Functions!AD16,IF(FatReplacement="Vegetable Oil",Functions!AG16,""))</f>
        <v>Low product cost</v>
      </c>
      <c r="C41" s="474"/>
      <c r="D41" s="475"/>
      <c r="E41" s="478" t="str">
        <f>IF(FatReplacement="Chicken Skin",Functions!AE16,IF(FatReplacement="Vegetable Oil",Functions!AH16,""))</f>
        <v xml:space="preserve"> </v>
      </c>
      <c r="F41" s="478"/>
      <c r="G41" s="478"/>
      <c r="H41" s="479"/>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33" t="s">
        <v>1504</v>
      </c>
      <c r="C2" s="533"/>
      <c r="D2" s="533"/>
      <c r="E2" s="534"/>
      <c r="F2" s="535" t="s">
        <v>1505</v>
      </c>
      <c r="G2" s="535"/>
      <c r="H2" s="535"/>
      <c r="I2" s="98"/>
      <c r="J2" s="536" t="s">
        <v>1</v>
      </c>
      <c r="K2" s="536"/>
    </row>
    <row r="3" spans="2:11" ht="24" x14ac:dyDescent="0.2">
      <c r="B3" s="91"/>
      <c r="C3" s="92"/>
      <c r="D3" s="99"/>
      <c r="E3" s="100"/>
      <c r="F3" s="101"/>
      <c r="G3" s="102"/>
      <c r="H3" s="102"/>
      <c r="I3" s="103"/>
      <c r="J3" s="104"/>
      <c r="K3" s="105"/>
    </row>
    <row r="4" spans="2:11" ht="20" x14ac:dyDescent="0.25">
      <c r="B4" s="106" t="s">
        <v>79</v>
      </c>
      <c r="C4" s="92" t="s">
        <v>1506</v>
      </c>
      <c r="D4" s="527" t="s">
        <v>1531</v>
      </c>
      <c r="E4" s="100"/>
      <c r="F4" s="107" t="s">
        <v>1507</v>
      </c>
      <c r="G4" s="522" t="s">
        <v>1508</v>
      </c>
      <c r="H4" s="523"/>
      <c r="I4" s="103"/>
      <c r="J4" s="108" t="s">
        <v>1506</v>
      </c>
      <c r="K4" s="109" t="s">
        <v>1509</v>
      </c>
    </row>
    <row r="5" spans="2:11" ht="17" x14ac:dyDescent="0.2">
      <c r="B5" s="91"/>
      <c r="C5" s="92"/>
      <c r="D5" s="527"/>
      <c r="E5" s="100"/>
      <c r="F5" s="537" t="s">
        <v>1510</v>
      </c>
      <c r="G5" s="538"/>
      <c r="H5" s="110">
        <v>1</v>
      </c>
      <c r="I5" s="103"/>
      <c r="J5" s="104" t="s">
        <v>1506</v>
      </c>
      <c r="K5" s="105" t="s">
        <v>1511</v>
      </c>
    </row>
    <row r="6" spans="2:11" s="113" customFormat="1" ht="18" thickBot="1" x14ac:dyDescent="0.25">
      <c r="B6" s="91"/>
      <c r="C6" s="92" t="s">
        <v>1506</v>
      </c>
      <c r="D6" s="99" t="s">
        <v>1512</v>
      </c>
      <c r="E6" s="111"/>
      <c r="F6" s="112" t="s">
        <v>1513</v>
      </c>
      <c r="G6" s="529" t="s">
        <v>1514</v>
      </c>
      <c r="H6" s="530"/>
      <c r="I6" s="103"/>
      <c r="J6" s="108" t="s">
        <v>1506</v>
      </c>
      <c r="K6" s="531" t="s">
        <v>1515</v>
      </c>
    </row>
    <row r="7" spans="2:11" s="113" customFormat="1" ht="26" x14ac:dyDescent="0.3">
      <c r="B7" s="91"/>
      <c r="C7" s="92"/>
      <c r="D7" s="99"/>
      <c r="E7" s="111"/>
      <c r="F7" s="512" t="s">
        <v>1516</v>
      </c>
      <c r="G7" s="512"/>
      <c r="H7" s="512"/>
      <c r="I7" s="114"/>
      <c r="J7" s="115"/>
      <c r="K7" s="531"/>
    </row>
    <row r="8" spans="2:11" s="113" customFormat="1" ht="20" x14ac:dyDescent="0.2">
      <c r="B8" s="91"/>
      <c r="C8" s="92"/>
      <c r="D8" s="93"/>
      <c r="E8" s="93"/>
      <c r="F8" s="116"/>
      <c r="G8" s="117" t="s">
        <v>1517</v>
      </c>
      <c r="H8" s="116"/>
      <c r="I8" s="93"/>
      <c r="J8" s="118"/>
      <c r="K8" s="531"/>
    </row>
    <row r="9" spans="2:11" ht="34" x14ac:dyDescent="0.4">
      <c r="B9" s="157" t="s">
        <v>80</v>
      </c>
      <c r="C9" s="119" t="s">
        <v>1506</v>
      </c>
      <c r="D9" s="120" t="s">
        <v>1518</v>
      </c>
      <c r="E9" s="121"/>
      <c r="F9" s="511" t="s">
        <v>45</v>
      </c>
      <c r="G9" s="511"/>
      <c r="H9" s="511"/>
      <c r="I9" s="121"/>
      <c r="J9" s="122"/>
      <c r="K9" s="121"/>
    </row>
    <row r="10" spans="2:11" ht="12" customHeight="1" x14ac:dyDescent="0.2">
      <c r="B10" s="123"/>
      <c r="C10" s="119"/>
      <c r="D10" s="532" t="s">
        <v>1519</v>
      </c>
      <c r="E10" s="121"/>
      <c r="F10" s="124"/>
      <c r="G10" s="121"/>
      <c r="H10" s="125"/>
      <c r="I10" s="121"/>
      <c r="J10" s="122"/>
      <c r="K10" s="121"/>
    </row>
    <row r="11" spans="2:11" ht="17" x14ac:dyDescent="0.2">
      <c r="B11" s="123"/>
      <c r="C11" s="119"/>
      <c r="D11" s="532"/>
      <c r="E11" s="121"/>
      <c r="F11" s="126" t="s">
        <v>1507</v>
      </c>
      <c r="G11" s="515" t="s">
        <v>1520</v>
      </c>
      <c r="H11" s="516"/>
      <c r="I11" s="121"/>
      <c r="J11" s="122"/>
      <c r="K11" s="121"/>
    </row>
    <row r="12" spans="2:11" ht="21" customHeight="1" thickBot="1" x14ac:dyDescent="0.25">
      <c r="B12" s="123"/>
      <c r="C12" s="119"/>
      <c r="D12" s="532"/>
      <c r="E12" s="127"/>
      <c r="F12" s="524" t="s">
        <v>1510</v>
      </c>
      <c r="G12" s="525"/>
      <c r="H12" s="128">
        <v>2</v>
      </c>
      <c r="I12" s="121"/>
      <c r="J12" s="122"/>
      <c r="K12" s="121"/>
    </row>
    <row r="13" spans="2:11" ht="26" x14ac:dyDescent="0.3">
      <c r="B13" s="91"/>
      <c r="C13" s="92"/>
      <c r="D13" s="99"/>
      <c r="E13" s="111"/>
      <c r="F13" s="512" t="s">
        <v>1516</v>
      </c>
      <c r="G13" s="512"/>
      <c r="H13" s="512"/>
      <c r="I13" s="526"/>
      <c r="J13" s="115"/>
      <c r="K13" s="129"/>
    </row>
    <row r="14" spans="2:11" s="113" customFormat="1" ht="20" x14ac:dyDescent="0.2">
      <c r="B14" s="91"/>
      <c r="C14" s="92"/>
      <c r="D14" s="99"/>
      <c r="E14" s="111"/>
      <c r="F14" s="130"/>
      <c r="G14" s="117" t="s">
        <v>1521</v>
      </c>
      <c r="H14" s="130"/>
      <c r="I14" s="526"/>
      <c r="J14" s="131"/>
      <c r="K14" s="93"/>
    </row>
    <row r="15" spans="2:11" s="113" customFormat="1" ht="34" x14ac:dyDescent="0.4">
      <c r="B15" s="158" t="s">
        <v>81</v>
      </c>
      <c r="C15" s="92" t="s">
        <v>1506</v>
      </c>
      <c r="D15" s="132" t="s">
        <v>1518</v>
      </c>
      <c r="E15" s="93"/>
      <c r="F15" s="511" t="s">
        <v>45</v>
      </c>
      <c r="G15" s="511"/>
      <c r="H15" s="511"/>
      <c r="I15" s="114"/>
      <c r="J15" s="108" t="s">
        <v>1506</v>
      </c>
      <c r="K15" s="527" t="s">
        <v>1522</v>
      </c>
    </row>
    <row r="16" spans="2:11" s="113" customFormat="1" ht="15" customHeight="1" x14ac:dyDescent="0.2">
      <c r="B16" s="91"/>
      <c r="C16" s="92"/>
      <c r="D16" s="528" t="s">
        <v>1519</v>
      </c>
      <c r="E16" s="93"/>
      <c r="F16" s="133"/>
      <c r="G16" s="134"/>
      <c r="H16" s="125"/>
      <c r="I16" s="93"/>
      <c r="J16" s="108"/>
      <c r="K16" s="527"/>
    </row>
    <row r="17" spans="2:11" ht="17" x14ac:dyDescent="0.2">
      <c r="B17" s="91"/>
      <c r="C17" s="92"/>
      <c r="D17" s="528"/>
      <c r="E17" s="94"/>
      <c r="F17" s="126" t="s">
        <v>1507</v>
      </c>
      <c r="G17" s="515" t="s">
        <v>1520</v>
      </c>
      <c r="H17" s="516"/>
      <c r="I17" s="94"/>
      <c r="J17" s="108"/>
      <c r="K17" s="527"/>
    </row>
    <row r="18" spans="2:11" ht="17" thickBot="1" x14ac:dyDescent="0.25">
      <c r="B18" s="91"/>
      <c r="C18" s="92"/>
      <c r="D18" s="528"/>
      <c r="E18" s="94"/>
      <c r="F18" s="524" t="s">
        <v>1510</v>
      </c>
      <c r="G18" s="525"/>
      <c r="H18" s="128">
        <v>2</v>
      </c>
      <c r="I18" s="94"/>
      <c r="J18" s="108"/>
      <c r="K18" s="527"/>
    </row>
    <row r="19" spans="2:11" ht="26" x14ac:dyDescent="0.3">
      <c r="B19" s="91"/>
      <c r="C19" s="92"/>
      <c r="D19" s="99"/>
      <c r="E19" s="94"/>
      <c r="F19" s="512" t="s">
        <v>1516</v>
      </c>
      <c r="G19" s="512"/>
      <c r="H19" s="512"/>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20" t="s">
        <v>1524</v>
      </c>
      <c r="F21" s="511" t="s">
        <v>45</v>
      </c>
      <c r="G21" s="511"/>
      <c r="H21" s="511"/>
      <c r="I21" s="135"/>
      <c r="J21" s="136" t="s">
        <v>1506</v>
      </c>
      <c r="K21" s="521" t="s">
        <v>1530</v>
      </c>
    </row>
    <row r="22" spans="2:11" ht="15" customHeight="1" x14ac:dyDescent="0.2">
      <c r="B22" s="123"/>
      <c r="C22" s="119"/>
      <c r="D22" s="137"/>
      <c r="E22" s="520"/>
      <c r="F22" s="133"/>
      <c r="G22" s="522"/>
      <c r="H22" s="523"/>
      <c r="I22" s="138"/>
      <c r="J22" s="136"/>
      <c r="K22" s="521"/>
    </row>
    <row r="23" spans="2:11" ht="17" x14ac:dyDescent="0.2">
      <c r="B23" s="123"/>
      <c r="C23" s="119"/>
      <c r="D23" s="139"/>
      <c r="E23" s="520"/>
      <c r="F23" s="126" t="s">
        <v>1507</v>
      </c>
      <c r="G23" s="515" t="s">
        <v>1520</v>
      </c>
      <c r="H23" s="516"/>
      <c r="I23" s="140"/>
      <c r="J23" s="136"/>
      <c r="K23" s="521"/>
    </row>
    <row r="24" spans="2:11" ht="17" thickBot="1" x14ac:dyDescent="0.25">
      <c r="B24" s="123"/>
      <c r="C24" s="119"/>
      <c r="D24" s="137"/>
      <c r="E24" s="520"/>
      <c r="F24" s="524" t="s">
        <v>1510</v>
      </c>
      <c r="G24" s="525"/>
      <c r="H24" s="141">
        <v>2</v>
      </c>
      <c r="I24" s="140"/>
      <c r="J24" s="136"/>
      <c r="K24" s="521"/>
    </row>
    <row r="25" spans="2:11" s="113" customFormat="1" ht="26" x14ac:dyDescent="0.3">
      <c r="B25" s="91"/>
      <c r="C25" s="92"/>
      <c r="D25" s="142"/>
      <c r="E25" s="111"/>
      <c r="F25" s="512" t="s">
        <v>1516</v>
      </c>
      <c r="G25" s="512"/>
      <c r="H25" s="512"/>
      <c r="I25" s="103"/>
      <c r="J25" s="131"/>
      <c r="K25" s="513" t="s">
        <v>1526</v>
      </c>
    </row>
    <row r="26" spans="2:11" s="113" customFormat="1" ht="20" x14ac:dyDescent="0.2">
      <c r="B26" s="91"/>
      <c r="C26" s="92"/>
      <c r="D26" s="93"/>
      <c r="E26" s="93"/>
      <c r="F26" s="116"/>
      <c r="G26" s="117" t="s">
        <v>1525</v>
      </c>
      <c r="H26" s="116"/>
      <c r="I26" s="129"/>
      <c r="J26" s="118"/>
      <c r="K26" s="513"/>
    </row>
    <row r="27" spans="2:11" s="113" customFormat="1" ht="34" x14ac:dyDescent="0.4">
      <c r="B27" s="106" t="s">
        <v>83</v>
      </c>
      <c r="C27" s="92"/>
      <c r="D27" s="93"/>
      <c r="E27" s="93"/>
      <c r="F27" s="511" t="s">
        <v>45</v>
      </c>
      <c r="G27" s="511"/>
      <c r="H27" s="511"/>
      <c r="I27" s="93"/>
      <c r="J27" s="118"/>
      <c r="K27" s="514" t="s">
        <v>3065</v>
      </c>
    </row>
    <row r="28" spans="2:11" ht="17" x14ac:dyDescent="0.2">
      <c r="B28" s="91"/>
      <c r="C28" s="92"/>
      <c r="D28" s="93"/>
      <c r="E28" s="93"/>
      <c r="F28" s="144" t="s">
        <v>1507</v>
      </c>
      <c r="G28" s="515" t="s">
        <v>1527</v>
      </c>
      <c r="H28" s="516"/>
      <c r="I28" s="517" t="s">
        <v>1528</v>
      </c>
      <c r="J28" s="104"/>
      <c r="K28" s="514"/>
    </row>
    <row r="29" spans="2:11" ht="17" thickBot="1" x14ac:dyDescent="0.25">
      <c r="B29" s="91"/>
      <c r="C29" s="92"/>
      <c r="D29" s="93"/>
      <c r="E29" s="93"/>
      <c r="F29" s="518" t="s">
        <v>1510</v>
      </c>
      <c r="G29" s="519"/>
      <c r="H29" s="145">
        <v>1</v>
      </c>
      <c r="I29" s="517"/>
      <c r="J29" s="115"/>
      <c r="K29" s="514"/>
    </row>
    <row r="30" spans="2:11" ht="29" x14ac:dyDescent="0.35">
      <c r="B30" s="91"/>
      <c r="C30" s="92"/>
      <c r="D30" s="99"/>
      <c r="E30" s="100"/>
      <c r="F30" s="510" t="s">
        <v>1516</v>
      </c>
      <c r="G30" s="510"/>
      <c r="H30" s="510"/>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11" t="s">
        <v>45</v>
      </c>
      <c r="G32" s="511"/>
      <c r="H32" s="511"/>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09" t="s">
        <v>3076</v>
      </c>
      <c r="F34" s="509"/>
      <c r="G34" s="509"/>
      <c r="H34" s="509"/>
      <c r="I34" s="509"/>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E34:I34"/>
    <mergeCell ref="F30:H30"/>
    <mergeCell ref="F32:H32"/>
    <mergeCell ref="F25:H25"/>
    <mergeCell ref="K25:K26"/>
    <mergeCell ref="F27:H27"/>
    <mergeCell ref="K27:K29"/>
    <mergeCell ref="G28:H28"/>
    <mergeCell ref="I28:I29"/>
    <mergeCell ref="F29:G29"/>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3223</v>
      </c>
      <c r="W3" s="252" t="s">
        <v>3129</v>
      </c>
      <c r="X3" s="253">
        <v>0.1</v>
      </c>
      <c r="Y3" s="253">
        <v>5.0000000000000001E-3</v>
      </c>
      <c r="Z3" s="257" t="s">
        <v>3115</v>
      </c>
      <c r="AA3" s="174">
        <v>2.0000000000000001E-4</v>
      </c>
      <c r="AB3" s="174">
        <v>0</v>
      </c>
      <c r="AC3" s="174"/>
      <c r="AD3" s="67" t="s">
        <v>3047</v>
      </c>
      <c r="AE3" s="68" t="s">
        <v>3219</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3222</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3221</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3215</v>
      </c>
      <c r="W6" s="252" t="s">
        <v>3220</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3224</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3184</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3185</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3186</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3187</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3184</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3188</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3189</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3190</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3214</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23</vt:i4>
      </vt:variant>
    </vt:vector>
  </HeadingPairs>
  <TitlesOfParts>
    <vt:vector size="27"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MDM</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2023-02-08T17:54:17Z</dcterms:modified>
</cp:coreProperties>
</file>