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Hot Dog/A_Online-Versionen/"/>
    </mc:Choice>
  </mc:AlternateContent>
  <xr:revisionPtr revIDLastSave="0" documentId="13_ncr:1_{3AE3AB00-02FA-834E-B92A-8960CC99E11C}" xr6:coauthVersionLast="47" xr6:coauthVersionMax="47" xr10:uidLastSave="{00000000-0000-0000-0000-000000000000}"/>
  <workbookProtection workbookAlgorithmName="SHA-512" workbookHashValue="eO8cDwh3WdfaZ7dYN/BIIo1ihPQv9un6B8oj+FloalwAMlzlQ2hn9/UZL7608SNwHL3WzRQw221WJY2BClgj6Q==" workbookSaltValue="PGoqPVyJpdnAS/UxEgcjnA=="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Recipe!$B$8:$O$29</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Recipe!$B$1:$O$77</definedName>
    <definedName name="Druckbereich2">#REF!</definedName>
    <definedName name="Egal">Functions!$A$1:$A$4</definedName>
    <definedName name="Emulsion">Recipe!$N$14</definedName>
    <definedName name="Extras">Functions!#REF!</definedName>
    <definedName name="FatReplacement">'AGAGEL® Emulsion'!$B$9</definedName>
    <definedName name="Fibre">Recipe!#REF!</definedName>
    <definedName name="FibreMaxx">Recipe!$N$23</definedName>
    <definedName name="Hyperlinks">Functions!$G$2:$G$1048576</definedName>
    <definedName name="ingredientsWeight">Recipe!$N$19:$N$27</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Recipe!$N$17</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Recipe!$N$22</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Recipe!$R$29</definedName>
    <definedName name="TotalWeight">Recipe!$L$29</definedName>
    <definedName name="TumbledOrIuT">#REF!</definedName>
    <definedName name="TumbledOrIuT2">#REF!</definedName>
    <definedName name="Water">Recipe!$N$15:$N$15</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1" i="1" l="1"/>
  <c r="E21" i="1"/>
  <c r="D21" i="1"/>
  <c r="N25" i="1"/>
  <c r="U25" i="1" s="1"/>
  <c r="P25" i="1"/>
  <c r="Q25" i="1" s="1"/>
  <c r="S25" i="1" s="1"/>
  <c r="E25" i="1"/>
  <c r="D25" i="1"/>
  <c r="L11" i="1"/>
  <c r="Q12" i="1"/>
  <c r="S12" i="1" s="1"/>
  <c r="N12" i="1"/>
  <c r="O12" i="1" s="1"/>
  <c r="Q21" i="1" l="1"/>
  <c r="S21" i="1" s="1"/>
  <c r="R25" i="1"/>
  <c r="O25" i="1"/>
  <c r="R12" i="1"/>
  <c r="E36" i="1"/>
  <c r="D36" i="1"/>
  <c r="E35" i="1"/>
  <c r="D35" i="1"/>
  <c r="N26" i="1"/>
  <c r="O26" i="1" s="1"/>
  <c r="N24" i="1"/>
  <c r="U24" i="1" l="1"/>
  <c r="Q16" i="1" l="1"/>
  <c r="S16" i="1" s="1"/>
  <c r="P24" i="1" l="1"/>
  <c r="Q24" i="1" s="1"/>
  <c r="S24" i="1" s="1"/>
  <c r="E24" i="1"/>
  <c r="D24" i="1"/>
  <c r="R24" i="1" l="1"/>
  <c r="O24" i="1"/>
  <c r="N14" i="1" l="1"/>
  <c r="N15" i="1"/>
  <c r="N23" i="1" s="1"/>
  <c r="P22" i="1"/>
  <c r="Q22" i="1" s="1"/>
  <c r="S22" i="1" s="1"/>
  <c r="E22" i="1"/>
  <c r="D22" i="1"/>
  <c r="E38" i="1"/>
  <c r="D38" i="1"/>
  <c r="E37" i="1"/>
  <c r="D37" i="1"/>
  <c r="E34" i="1"/>
  <c r="D34" i="1"/>
  <c r="E33" i="1"/>
  <c r="D33" i="1"/>
  <c r="D32" i="1"/>
  <c r="N32" i="1"/>
  <c r="O32" i="1" s="1"/>
  <c r="I9" i="3"/>
  <c r="K9" i="3" s="1"/>
  <c r="N13" i="1"/>
  <c r="R13" i="1" s="1"/>
  <c r="P19" i="1"/>
  <c r="Q19" i="1" s="1"/>
  <c r="P20" i="1"/>
  <c r="Q20" i="1" s="1"/>
  <c r="S20" i="1" s="1"/>
  <c r="P26" i="1"/>
  <c r="Q26" i="1" s="1"/>
  <c r="S26" i="1" s="1"/>
  <c r="P23" i="1"/>
  <c r="P27" i="1"/>
  <c r="Q27" i="1" s="1"/>
  <c r="S27" i="1" s="1"/>
  <c r="Q29" i="1"/>
  <c r="K14" i="3"/>
  <c r="B34" i="3"/>
  <c r="B32" i="3"/>
  <c r="B33" i="3"/>
  <c r="C33" i="3"/>
  <c r="C32" i="3"/>
  <c r="C27" i="3"/>
  <c r="C31" i="3"/>
  <c r="B21" i="3"/>
  <c r="C28" i="3"/>
  <c r="K13" i="3"/>
  <c r="K10" i="3"/>
  <c r="Q15" i="1"/>
  <c r="S15" i="1" s="1"/>
  <c r="Q13" i="1"/>
  <c r="S13" i="1" s="1"/>
  <c r="E23" i="1"/>
  <c r="E27" i="1"/>
  <c r="E20" i="1"/>
  <c r="E26" i="1"/>
  <c r="D18" i="3"/>
  <c r="C18" i="3"/>
  <c r="D17" i="3"/>
  <c r="C17" i="3"/>
  <c r="B38" i="3"/>
  <c r="B36" i="3"/>
  <c r="C13" i="3"/>
  <c r="E39" i="3"/>
  <c r="E40" i="3"/>
  <c r="E41" i="3"/>
  <c r="E38" i="3"/>
  <c r="B39" i="3"/>
  <c r="B40" i="3"/>
  <c r="B41" i="3"/>
  <c r="C25" i="3"/>
  <c r="C26" i="3"/>
  <c r="C22" i="3"/>
  <c r="B25" i="3"/>
  <c r="B26" i="3"/>
  <c r="B27" i="3"/>
  <c r="B28" i="3"/>
  <c r="B31" i="3"/>
  <c r="B22" i="3"/>
  <c r="D13" i="3"/>
  <c r="D19" i="1"/>
  <c r="D20" i="1"/>
  <c r="D23" i="1"/>
  <c r="D27" i="1"/>
  <c r="D26" i="1"/>
  <c r="E19" i="1"/>
  <c r="G8" i="3" l="1"/>
  <c r="G13" i="3" s="1"/>
  <c r="R15" i="1"/>
  <c r="N16" i="1"/>
  <c r="N17" i="1" s="1"/>
  <c r="N21" i="1" s="1"/>
  <c r="O15" i="1"/>
  <c r="Q23" i="1"/>
  <c r="S23" i="1" s="1"/>
  <c r="O13" i="1"/>
  <c r="S19" i="1"/>
  <c r="Q28" i="1"/>
  <c r="U21" i="1" l="1"/>
  <c r="O21" i="1"/>
  <c r="R21" i="1"/>
  <c r="N27" i="1"/>
  <c r="O23" i="1"/>
  <c r="L16" i="1"/>
  <c r="O16" i="1"/>
  <c r="R16" i="1"/>
  <c r="R23" i="1"/>
  <c r="U23" i="1"/>
  <c r="G9" i="3"/>
  <c r="H13" i="3"/>
  <c r="L13" i="3"/>
  <c r="M13" i="3" s="1"/>
  <c r="M11" i="3" s="1"/>
  <c r="S28" i="1"/>
  <c r="S29" i="1"/>
  <c r="F9" i="3" l="1"/>
  <c r="G10" i="3"/>
  <c r="F14" i="3" s="1"/>
  <c r="L9" i="3"/>
  <c r="N20" i="1" l="1"/>
  <c r="U20" i="1" s="1"/>
  <c r="L17" i="1"/>
  <c r="N19" i="1"/>
  <c r="L10" i="3"/>
  <c r="M10" i="3" s="1"/>
  <c r="F10" i="3"/>
  <c r="M9" i="3"/>
  <c r="G11" i="3"/>
  <c r="U26" i="1"/>
  <c r="R26" i="1"/>
  <c r="O27" i="1"/>
  <c r="R27" i="1"/>
  <c r="U27" i="1"/>
  <c r="U19" i="1" l="1"/>
  <c r="R20" i="1"/>
  <c r="O20" i="1"/>
  <c r="O19" i="1"/>
  <c r="R19" i="1"/>
  <c r="L11" i="3"/>
  <c r="L14" i="3" s="1"/>
  <c r="I11" i="3" l="1"/>
  <c r="M14" i="3"/>
  <c r="P14" i="1"/>
  <c r="I14" i="3"/>
  <c r="Q14" i="1" l="1"/>
  <c r="S14" i="1" s="1"/>
  <c r="R14" i="1"/>
  <c r="R17" i="1" s="1"/>
  <c r="S17" i="1" l="1"/>
  <c r="P17" i="1" l="1"/>
  <c r="Q17" i="1" s="1"/>
  <c r="N22" i="1"/>
  <c r="L22" i="1" l="1"/>
  <c r="U28" i="1" l="1"/>
  <c r="O22" i="1"/>
  <c r="R22" i="1"/>
  <c r="R28" i="1" s="1"/>
  <c r="N28" i="1"/>
  <c r="L29" i="1" s="1"/>
  <c r="L28" i="1"/>
  <c r="P28" i="1" l="1"/>
  <c r="R29" i="1"/>
  <c r="P29" i="1" s="1"/>
  <c r="U29" i="1"/>
</calcChain>
</file>

<file path=xl/sharedStrings.xml><?xml version="1.0" encoding="utf-8"?>
<sst xmlns="http://schemas.openxmlformats.org/spreadsheetml/2006/main" count="5221" uniqueCount="3244">
  <si>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</si>
  <si>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</si>
  <si>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</si>
  <si>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</si>
  <si>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</si>
  <si>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</si>
  <si>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</si>
  <si>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</si>
  <si>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</si>
  <si>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</si>
  <si>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</si>
  <si>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</si>
  <si>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</si>
  <si>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</si>
  <si>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</si>
  <si>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</si>
  <si>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</si>
  <si>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</si>
  <si>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</si>
  <si>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</si>
  <si>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</si>
  <si>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</si>
  <si>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</si>
  <si>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</si>
  <si>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</si>
  <si>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</si>
  <si>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</si>
  <si>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</si>
  <si>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</si>
  <si>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</si>
  <si>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</si>
  <si>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</si>
  <si>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</si>
  <si>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</si>
  <si>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</si>
  <si>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</si>
  <si>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</si>
  <si>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</si>
  <si>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</si>
  <si>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</si>
  <si>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</si>
  <si>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</si>
  <si>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</si>
  <si>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</si>
  <si>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</si>
  <si>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</si>
  <si>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</si>
  <si>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</si>
  <si>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</si>
  <si>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</si>
  <si>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</si>
  <si>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</si>
  <si>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</si>
  <si>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</si>
  <si>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</si>
  <si>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</si>
  <si>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</si>
  <si>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</si>
  <si>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</si>
  <si>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</si>
  <si>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</si>
  <si>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</si>
  <si>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</si>
  <si>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</si>
  <si>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</si>
  <si>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</si>
  <si>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</si>
  <si>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</si>
  <si>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</si>
  <si>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</si>
  <si>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</si>
  <si>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</si>
  <si>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</si>
  <si>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</si>
  <si>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</si>
  <si>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</si>
  <si>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</si>
  <si>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</si>
  <si>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</si>
  <si>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</si>
  <si>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</si>
  <si>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</si>
  <si>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</si>
  <si>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</si>
  <si>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</si>
  <si>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</si>
  <si>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</si>
  <si>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</si>
  <si>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</si>
  <si>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</si>
  <si>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</si>
  <si>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</si>
  <si>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</si>
  <si>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</si>
  <si>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</si>
  <si>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</si>
  <si>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</si>
  <si>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</si>
  <si>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</si>
  <si>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</si>
  <si>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</si>
  <si>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</si>
  <si>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</si>
  <si>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</si>
  <si>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</si>
  <si>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</si>
  <si>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</si>
  <si>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</si>
  <si>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</si>
  <si>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</si>
  <si>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</si>
  <si>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</si>
  <si>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</si>
  <si>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</si>
  <si>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</si>
  <si>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</si>
  <si>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</si>
  <si>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</si>
  <si>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</si>
  <si>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</si>
  <si>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</si>
  <si>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</si>
  <si>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</si>
  <si>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</si>
  <si>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</si>
  <si>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</si>
  <si>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</si>
  <si>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</si>
  <si>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</si>
  <si>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</si>
  <si>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</si>
  <si>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</si>
  <si>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</si>
  <si>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</si>
  <si>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</si>
  <si>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</si>
  <si>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</si>
  <si>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</si>
  <si>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</si>
  <si>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</si>
  <si>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</si>
  <si>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</si>
  <si>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</si>
  <si>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</si>
  <si>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</si>
  <si>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</si>
  <si>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</si>
  <si>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</si>
  <si>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</si>
  <si>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</si>
  <si>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</si>
  <si>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</si>
  <si>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</si>
  <si>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</si>
  <si>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</si>
  <si>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</si>
  <si>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</si>
  <si>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</si>
  <si>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</si>
  <si>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</si>
  <si>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</si>
  <si>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</si>
  <si>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</si>
  <si>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</si>
  <si>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</si>
  <si>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</si>
  <si>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</si>
  <si>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</si>
  <si>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</si>
  <si>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</si>
  <si>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</si>
  <si>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</si>
  <si>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</si>
  <si>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</si>
  <si>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</si>
  <si>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</si>
  <si>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</si>
  <si>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</si>
  <si>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</si>
  <si>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</si>
  <si>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</si>
  <si>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</si>
  <si>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</si>
  <si>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</si>
  <si>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</si>
  <si>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</si>
  <si>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</si>
  <si>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</si>
  <si>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</si>
  <si>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</si>
  <si>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</si>
  <si>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</si>
  <si>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</si>
  <si>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</si>
  <si>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</si>
  <si>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</si>
  <si>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</si>
  <si>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</si>
  <si>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</si>
  <si>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</si>
  <si>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</si>
  <si>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</si>
  <si>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</si>
  <si>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</si>
  <si>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</si>
  <si>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</si>
  <si>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</si>
  <si>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</si>
  <si>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</si>
  <si>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</si>
  <si>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</si>
  <si>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</si>
  <si>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</si>
  <si>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</si>
  <si>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</si>
  <si>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</si>
  <si>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</si>
  <si>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</si>
  <si>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</si>
  <si>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</si>
  <si>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</si>
  <si>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</si>
  <si>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</si>
  <si>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</si>
  <si>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</si>
  <si>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</si>
  <si>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</si>
  <si>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</si>
  <si>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</si>
  <si>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</si>
  <si>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</si>
  <si>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</si>
  <si>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</si>
  <si>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</si>
  <si>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</si>
  <si>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</si>
  <si>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</si>
  <si>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</si>
  <si>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</si>
  <si>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</si>
  <si>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</si>
  <si>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</si>
  <si>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</si>
  <si>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</si>
  <si>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</si>
  <si>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</si>
  <si>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</si>
  <si>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</si>
  <si>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</si>
  <si>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</si>
  <si>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</si>
  <si>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</si>
  <si>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</si>
  <si>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</si>
  <si>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</si>
  <si>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</si>
  <si>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</si>
  <si>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</si>
  <si>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</si>
  <si>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</si>
  <si>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</si>
  <si>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</si>
  <si>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</si>
  <si>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</si>
  <si>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</si>
  <si>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</si>
  <si>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</si>
  <si>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</si>
  <si>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</si>
  <si>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</si>
  <si>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</si>
  <si>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</si>
  <si>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</si>
  <si>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</si>
  <si>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</si>
  <si>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</si>
  <si>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</si>
  <si>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</si>
  <si>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</si>
  <si>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</si>
  <si>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</si>
  <si>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</si>
  <si>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</si>
  <si>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</si>
  <si>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</si>
  <si>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</si>
  <si>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</si>
  <si>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</si>
  <si>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</si>
  <si>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</si>
  <si>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</si>
  <si>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</si>
  <si>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</si>
  <si>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</si>
  <si>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</si>
  <si>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</si>
  <si>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</si>
  <si>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</si>
  <si>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</si>
  <si>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</si>
  <si>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</si>
  <si>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</si>
  <si>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</si>
  <si>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</si>
  <si>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</si>
  <si>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</si>
  <si>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</si>
  <si>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</si>
  <si>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</si>
  <si>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</si>
  <si>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</si>
  <si>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</si>
  <si>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</si>
  <si>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</si>
  <si>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</si>
  <si>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</si>
  <si>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</si>
  <si>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</si>
  <si>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</si>
  <si>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</si>
  <si>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</si>
  <si>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</si>
  <si>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</si>
  <si>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</si>
  <si>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</si>
  <si>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</si>
  <si>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</si>
  <si>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</si>
  <si>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</si>
  <si>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</si>
  <si>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</si>
  <si>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</si>
  <si>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</si>
  <si>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</si>
  <si>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</si>
  <si>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</si>
  <si>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</si>
  <si>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</si>
  <si>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</si>
  <si>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</si>
  <si>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</si>
  <si>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</si>
  <si>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</si>
  <si>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</si>
  <si>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</si>
  <si>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</si>
  <si>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</si>
  <si>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</si>
  <si>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</si>
  <si>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</si>
  <si>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</si>
  <si>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</si>
  <si>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</si>
  <si>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</si>
  <si>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</si>
  <si>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</si>
  <si>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</si>
  <si>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</si>
  <si>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</si>
  <si>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</si>
  <si>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</si>
  <si>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</si>
  <si>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</si>
  <si>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</si>
  <si>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</si>
  <si>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</si>
  <si>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</si>
  <si>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</si>
  <si>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</si>
  <si>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</si>
  <si>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</si>
  <si>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</si>
  <si>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</si>
  <si>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</si>
  <si>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</si>
  <si>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</si>
  <si>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</si>
  <si>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</si>
  <si>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</si>
  <si>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</si>
  <si>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</si>
  <si>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</si>
  <si>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</si>
  <si>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</si>
  <si>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</si>
  <si>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</si>
  <si>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</si>
  <si>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</si>
  <si>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</si>
  <si>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</si>
  <si>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</si>
  <si>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</si>
  <si>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</si>
  <si>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</si>
  <si>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</si>
  <si>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</si>
  <si>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</si>
  <si>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</si>
  <si>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</si>
  <si>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</si>
  <si>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</si>
  <si>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</si>
  <si>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</si>
  <si>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</si>
  <si>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</si>
  <si>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</si>
  <si>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</si>
  <si>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</si>
  <si>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</si>
  <si>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</si>
  <si>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</si>
  <si>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</si>
  <si>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</si>
  <si>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</si>
  <si>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</si>
  <si>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</si>
  <si>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</si>
  <si>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</si>
  <si>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</si>
  <si>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</si>
  <si>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</si>
  <si>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</si>
  <si>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</si>
  <si>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</si>
  <si>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</si>
  <si>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</si>
  <si>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</si>
  <si>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</si>
  <si>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</si>
  <si>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</si>
  <si>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</si>
  <si>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</si>
  <si>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</si>
  <si>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</si>
  <si>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</si>
  <si>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</si>
  <si>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</si>
  <si>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</si>
  <si>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</si>
  <si>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</si>
  <si>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</si>
  <si>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</si>
  <si>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</si>
  <si>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</si>
  <si>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</si>
  <si>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</si>
  <si>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</si>
  <si>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</si>
  <si>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</si>
  <si>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</si>
  <si>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</si>
  <si>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</si>
  <si>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</si>
  <si>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</si>
  <si>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</si>
  <si>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</si>
  <si>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</si>
  <si>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</si>
  <si>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</si>
  <si>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</si>
  <si>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</si>
  <si>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</si>
  <si>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</si>
  <si>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</si>
  <si>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</si>
  <si>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</si>
  <si>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</si>
  <si>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</si>
  <si>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</si>
  <si>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</si>
  <si>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</si>
  <si>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</si>
  <si>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</si>
  <si>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</si>
  <si>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</si>
  <si>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</si>
  <si>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</si>
  <si>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</si>
  <si>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</si>
  <si>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</si>
  <si>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</si>
  <si>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</si>
  <si>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</si>
  <si>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</si>
  <si>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</si>
  <si>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</si>
  <si>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</si>
  <si>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</si>
  <si>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</si>
  <si>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</si>
  <si>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</si>
  <si>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</si>
  <si>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</si>
  <si>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</si>
  <si>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</si>
  <si>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</si>
  <si>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</si>
  <si>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</si>
  <si>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</si>
  <si>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</si>
  <si>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</si>
  <si>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</si>
  <si>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</si>
  <si>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</si>
  <si>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</si>
  <si>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</si>
  <si>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</si>
  <si>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</si>
  <si>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</si>
  <si>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</si>
  <si>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</si>
  <si>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</si>
  <si>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</si>
  <si>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</si>
  <si>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</si>
  <si>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</si>
  <si>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</si>
  <si>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</si>
  <si>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</si>
  <si>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</si>
  <si>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</si>
  <si>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</si>
  <si>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</si>
  <si>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</si>
  <si>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</si>
  <si>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</si>
  <si>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</si>
  <si>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</si>
  <si>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</si>
  <si>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</si>
  <si>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</si>
  <si>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</si>
  <si>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</si>
  <si>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</si>
  <si>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</si>
  <si>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</si>
  <si>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</si>
  <si>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</si>
  <si>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</si>
  <si>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</si>
  <si>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</si>
  <si>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</si>
  <si>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</si>
  <si>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</si>
  <si>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</si>
  <si>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</si>
  <si>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</si>
  <si>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</si>
  <si>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</si>
  <si>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</si>
  <si>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</si>
  <si>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</si>
  <si>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</si>
  <si>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</si>
  <si>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</si>
  <si>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</si>
  <si>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</si>
  <si>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</si>
  <si>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</si>
  <si>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</si>
  <si>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</si>
  <si>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</si>
  <si>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</si>
  <si>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</si>
  <si>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</si>
  <si>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</si>
  <si>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</si>
  <si>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</si>
  <si>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</si>
  <si>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</si>
  <si>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</si>
  <si>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</si>
  <si>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</si>
  <si>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</si>
  <si>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</si>
  <si>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</si>
  <si>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</si>
  <si>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</si>
  <si>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</si>
  <si>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</si>
  <si>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</si>
  <si>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</si>
  <si>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</si>
  <si>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</si>
  <si>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</si>
  <si>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</si>
  <si>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</si>
  <si>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</si>
  <si>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</si>
  <si>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</si>
  <si>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</si>
  <si>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</si>
  <si>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</si>
  <si>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</si>
  <si>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</si>
  <si>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</si>
  <si>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</si>
  <si>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</si>
  <si>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</si>
  <si>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</si>
  <si>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</si>
  <si>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</si>
  <si>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</si>
  <si>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</si>
  <si>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</si>
  <si>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</si>
  <si>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</si>
  <si>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</si>
  <si>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</si>
  <si>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</si>
  <si>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</si>
  <si>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</si>
  <si>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</si>
  <si>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</si>
  <si>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</si>
  <si>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</si>
  <si>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</si>
  <si>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</si>
  <si>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</si>
  <si>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</si>
  <si>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</si>
  <si>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</si>
  <si>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</si>
  <si>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</si>
  <si>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</si>
  <si>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</si>
  <si>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</si>
  <si>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</si>
  <si>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</si>
  <si>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</si>
  <si>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</si>
  <si>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</si>
  <si>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</si>
  <si>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</si>
  <si>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</si>
  <si>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</si>
  <si>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</si>
  <si>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</si>
  <si>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</si>
  <si>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</si>
  <si>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</si>
  <si>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</si>
  <si>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</si>
  <si>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</si>
  <si>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</si>
  <si>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</si>
  <si>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</si>
  <si>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</si>
  <si>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</si>
  <si>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</si>
  <si>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</si>
  <si>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</si>
  <si>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</si>
  <si>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</si>
  <si>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</si>
  <si>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</si>
  <si>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</si>
  <si>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</si>
  <si>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</si>
  <si>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</si>
  <si>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</si>
  <si>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</si>
  <si>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</si>
  <si>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</si>
  <si>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</si>
  <si>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</si>
  <si>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</si>
  <si>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</si>
  <si>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</si>
  <si>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</si>
  <si>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</si>
  <si>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</si>
  <si>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</si>
  <si>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</si>
  <si>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</si>
  <si>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</si>
  <si>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</si>
  <si>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</si>
  <si>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</si>
  <si>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</si>
  <si>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</si>
  <si>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</si>
  <si>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</si>
  <si>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</si>
  <si>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</si>
  <si>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</si>
  <si>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</si>
  <si>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</si>
  <si>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</si>
  <si>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</si>
  <si>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</si>
  <si>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</si>
  <si>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</si>
  <si>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</si>
  <si>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</si>
  <si>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</si>
  <si>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</si>
  <si>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</si>
  <si>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</si>
  <si>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</si>
  <si>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</si>
  <si>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</si>
  <si>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</si>
  <si>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</si>
  <si>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</si>
  <si>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</si>
  <si>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</si>
  <si>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</si>
  <si>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</si>
  <si>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</si>
  <si>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</si>
  <si>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</si>
  <si>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</si>
  <si>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</si>
  <si>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</si>
  <si>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</si>
  <si>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</si>
  <si>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</si>
  <si>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</si>
  <si>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</si>
  <si>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</si>
  <si>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</si>
  <si>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</si>
  <si>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</si>
  <si>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</si>
  <si>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</si>
  <si>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</si>
  <si>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</si>
  <si>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</si>
  <si>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</si>
  <si>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</si>
  <si>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</si>
  <si>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</si>
  <si>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</si>
  <si>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</si>
  <si>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</si>
  <si>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</si>
  <si>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</si>
  <si>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</si>
  <si>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</si>
  <si>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</si>
  <si>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</si>
  <si>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</si>
  <si>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</si>
  <si>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</si>
  <si>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</si>
  <si>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</si>
  <si>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</si>
  <si>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</si>
  <si>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</si>
  <si>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</si>
  <si>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</si>
  <si>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</si>
  <si>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</si>
  <si>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</si>
  <si>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</si>
  <si>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</si>
  <si>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</si>
  <si>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</si>
  <si>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</si>
  <si>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</si>
  <si>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</si>
  <si>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</si>
  <si>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</si>
  <si>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</si>
  <si>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</si>
  <si>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</si>
  <si>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</si>
  <si>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</si>
  <si>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</si>
  <si>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</si>
  <si>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</si>
  <si>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</si>
  <si>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</si>
  <si>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</si>
  <si>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</si>
  <si>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</si>
  <si>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</si>
  <si>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</si>
  <si>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</si>
  <si>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</si>
  <si>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</si>
  <si>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</si>
  <si>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</si>
  <si>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</si>
  <si>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</si>
  <si>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</si>
  <si>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</si>
  <si>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</si>
  <si>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</si>
  <si>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</si>
  <si>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</si>
  <si>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</si>
  <si>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</si>
  <si>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</si>
  <si>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</si>
  <si>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</si>
  <si>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</si>
  <si>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</si>
  <si>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</si>
  <si>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</si>
  <si>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</si>
  <si>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</si>
  <si>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</si>
  <si>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</si>
  <si>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</si>
  <si>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</si>
  <si>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</si>
  <si>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</si>
  <si>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</si>
  <si>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</si>
  <si>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</si>
  <si>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</si>
  <si>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</si>
  <si>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</si>
  <si>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</si>
  <si>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</si>
  <si>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</si>
  <si>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</si>
  <si>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</si>
  <si>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</si>
  <si>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</si>
  <si>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</si>
  <si>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</si>
  <si>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</si>
  <si>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</si>
  <si>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</si>
  <si>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</si>
  <si>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</si>
  <si>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</si>
  <si>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</si>
  <si>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</si>
  <si>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</si>
  <si>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</si>
  <si>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</si>
  <si>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</si>
  <si>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</si>
  <si>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</si>
  <si>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</si>
  <si>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</si>
  <si>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</si>
  <si>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</si>
  <si>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</si>
  <si>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</si>
  <si>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</si>
  <si>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</si>
  <si>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</si>
  <si>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</si>
  <si>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</si>
  <si>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</si>
  <si>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</si>
  <si>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</si>
  <si>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</si>
  <si>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</si>
  <si>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</si>
  <si>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</si>
  <si>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</si>
  <si>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</si>
  <si>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</si>
  <si>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</si>
  <si>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</si>
  <si>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</si>
  <si>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</si>
  <si>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</si>
  <si>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</si>
  <si>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</si>
  <si>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</si>
  <si>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</si>
  <si>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</si>
  <si>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</si>
  <si>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</si>
  <si>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</si>
  <si>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</si>
  <si>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</si>
  <si>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</si>
  <si>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</si>
  <si>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</si>
  <si>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</si>
  <si>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</si>
  <si>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</si>
  <si>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</si>
  <si>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</si>
  <si>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</si>
  <si>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</si>
  <si>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</si>
  <si>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</si>
  <si>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</si>
  <si>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</si>
  <si>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</si>
  <si>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</si>
  <si>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</si>
  <si>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</si>
  <si>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</si>
  <si>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</si>
  <si>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</si>
  <si>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</si>
  <si>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</si>
  <si>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</si>
  <si>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</si>
  <si>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</si>
  <si>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</si>
  <si>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</si>
  <si>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</si>
  <si>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</si>
  <si>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</si>
  <si>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</si>
  <si>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</si>
  <si>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</si>
  <si>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</si>
  <si>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</si>
  <si>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</si>
  <si>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</si>
  <si>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</si>
  <si>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</si>
  <si>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</si>
  <si>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</si>
  <si>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</si>
  <si>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</si>
  <si>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</si>
  <si>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</si>
  <si>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</si>
  <si>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</si>
  <si>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</si>
  <si>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</si>
  <si>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</si>
  <si>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</si>
  <si>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</si>
  <si>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</si>
  <si>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</si>
  <si>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</si>
  <si>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</si>
  <si>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</si>
  <si>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</si>
  <si>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</si>
  <si>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</si>
  <si>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</si>
  <si>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</si>
  <si>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</si>
  <si>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</si>
  <si>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</si>
  <si>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</si>
  <si>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</si>
  <si>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</si>
  <si>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</si>
  <si>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</si>
  <si>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</si>
  <si>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</si>
  <si>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</si>
  <si>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</si>
  <si>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</si>
  <si>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</si>
  <si>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</si>
  <si>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</si>
  <si>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</si>
  <si>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</si>
  <si>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</si>
  <si>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</si>
  <si>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</si>
  <si>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</si>
  <si>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</si>
  <si>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</si>
  <si>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</si>
  <si>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</si>
  <si>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</si>
  <si>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</si>
  <si>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</si>
  <si>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</si>
  <si>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</si>
  <si>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</si>
  <si>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</si>
  <si>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</si>
  <si>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</si>
  <si>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</si>
  <si>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</si>
  <si>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</si>
  <si>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</si>
  <si>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</si>
  <si>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</si>
  <si>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</si>
  <si>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</si>
  <si>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</si>
  <si>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</si>
  <si>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</si>
  <si>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</si>
  <si>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</si>
  <si>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</si>
  <si>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</si>
  <si>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</si>
  <si>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</si>
  <si>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</si>
  <si>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</si>
  <si>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</si>
  <si>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</si>
  <si>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</si>
  <si>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</si>
  <si>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</si>
  <si>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</si>
  <si>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</si>
  <si>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</si>
  <si>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</si>
  <si>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</si>
  <si>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</si>
  <si>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</si>
  <si>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</si>
  <si>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</si>
  <si>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</si>
  <si>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</si>
  <si>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</si>
  <si>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</si>
  <si>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</si>
  <si>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</si>
  <si>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</si>
  <si>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</si>
  <si>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</si>
  <si>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</si>
  <si>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</si>
  <si>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</si>
  <si>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</si>
  <si>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</si>
  <si>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</si>
  <si>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</si>
  <si>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</si>
  <si>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</si>
  <si>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</si>
  <si>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</si>
  <si>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</si>
  <si>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</si>
  <si>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</si>
  <si>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</si>
  <si>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</si>
  <si>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</si>
  <si>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</si>
  <si>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</si>
  <si>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</si>
  <si>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</si>
  <si>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</si>
  <si>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</si>
  <si>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</si>
  <si>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</si>
  <si>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</si>
  <si>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</si>
  <si>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</si>
  <si>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</si>
  <si>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</si>
  <si>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</si>
  <si>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</si>
  <si>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</si>
  <si>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</si>
  <si>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</si>
  <si>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</si>
  <si>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</si>
  <si>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</si>
  <si>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</si>
  <si>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</si>
  <si>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</si>
  <si>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</si>
  <si>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</si>
  <si>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</si>
  <si>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</si>
  <si>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</si>
  <si>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</si>
  <si>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</si>
  <si>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</si>
  <si>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</si>
  <si>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</si>
  <si>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</si>
  <si>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</si>
  <si>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</si>
  <si>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</si>
  <si>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</si>
  <si>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</si>
  <si>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</si>
  <si>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</si>
  <si>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</si>
  <si>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</si>
  <si>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</si>
  <si>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</si>
  <si>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</si>
  <si>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</si>
  <si>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</si>
  <si>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</si>
  <si>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</si>
  <si>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</si>
  <si>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</si>
  <si>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</si>
  <si>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</si>
  <si>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</si>
  <si>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</si>
  <si>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</si>
  <si>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</si>
  <si>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</si>
  <si>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</si>
  <si>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</si>
  <si>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</si>
  <si>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</si>
  <si>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</si>
  <si>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</si>
  <si>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</si>
  <si>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</si>
  <si>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</si>
  <si>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</si>
  <si>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</si>
  <si>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</si>
  <si>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</si>
  <si>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</si>
  <si>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</si>
  <si>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</si>
  <si>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</si>
  <si>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</si>
  <si>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</si>
  <si>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</si>
  <si>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</si>
  <si>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</si>
  <si>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</si>
  <si>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</si>
  <si>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</si>
  <si>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</si>
  <si>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</si>
  <si>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</si>
  <si>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</si>
  <si>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</si>
  <si>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</si>
  <si>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</si>
  <si>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</si>
  <si>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</si>
  <si>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</si>
  <si>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</si>
  <si>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</si>
  <si>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</si>
  <si>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</si>
  <si>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</si>
  <si>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</si>
  <si>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</si>
  <si>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</si>
  <si>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</si>
  <si>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</si>
  <si>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</si>
  <si>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</si>
  <si>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</si>
  <si>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</si>
  <si>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</si>
  <si>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</si>
  <si>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</si>
  <si>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</si>
  <si>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</si>
  <si>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</si>
  <si>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</si>
  <si>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</si>
  <si>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</si>
  <si>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</si>
  <si>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</si>
  <si>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</si>
  <si>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</si>
  <si>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</si>
  <si>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</si>
  <si>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</si>
  <si>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</si>
  <si>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</si>
  <si>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</si>
  <si>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</si>
  <si>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</si>
  <si>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</si>
  <si>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</si>
  <si>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</si>
  <si>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</si>
  <si>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</si>
  <si>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</si>
  <si>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</si>
  <si>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</si>
  <si>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</si>
  <si>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</si>
  <si>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</si>
  <si>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</si>
  <si>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</si>
  <si>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</si>
  <si>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</si>
  <si>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</si>
  <si>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</si>
  <si>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</si>
  <si>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</si>
  <si>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</si>
  <si>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</si>
  <si>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</si>
  <si>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</si>
  <si>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</si>
  <si>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</si>
  <si>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</si>
  <si>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</si>
  <si>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</si>
  <si>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</si>
  <si>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</si>
  <si>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</si>
  <si>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</si>
  <si>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</si>
  <si>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</si>
  <si>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</si>
  <si>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</si>
  <si>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</si>
  <si>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</si>
  <si>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</si>
  <si>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</si>
  <si>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</si>
  <si>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</si>
  <si>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</si>
  <si>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</si>
  <si>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</si>
  <si>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</si>
  <si>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</si>
  <si>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</si>
  <si>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</si>
  <si>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</si>
  <si>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</si>
  <si>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</si>
  <si>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</si>
  <si>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</si>
  <si>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</si>
  <si>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</si>
  <si>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</si>
  <si>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</si>
  <si>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</si>
  <si>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</si>
  <si>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</si>
  <si>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</si>
  <si>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</si>
  <si>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</si>
  <si>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</si>
  <si>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</si>
  <si>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</si>
  <si>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</si>
  <si>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</si>
  <si>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</si>
  <si>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</si>
  <si>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</si>
  <si>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</si>
  <si>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</si>
  <si>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</si>
  <si>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</si>
  <si>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</si>
  <si>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</si>
  <si>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</si>
  <si>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</si>
  <si>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</si>
  <si>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</si>
  <si>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</si>
  <si>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</si>
  <si>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</si>
  <si>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</si>
  <si>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</si>
  <si>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</si>
  <si>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</si>
  <si>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</si>
  <si>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</si>
  <si>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</si>
  <si>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</si>
  <si>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</si>
  <si>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</si>
  <si>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</si>
  <si>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</si>
  <si>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</si>
  <si>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</si>
  <si>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</si>
  <si>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</si>
  <si>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</si>
  <si>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</si>
  <si>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</si>
  <si>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</si>
  <si>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</si>
  <si>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</si>
  <si>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</si>
  <si>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</si>
  <si>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</si>
  <si>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</si>
  <si>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</si>
  <si>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</si>
  <si>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</si>
  <si>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</si>
  <si>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</si>
  <si>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</si>
  <si>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</si>
  <si>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</si>
  <si>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</si>
  <si>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</si>
  <si>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</si>
  <si>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</si>
  <si>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</si>
  <si>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</si>
  <si>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</si>
  <si>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</si>
  <si>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</si>
  <si>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</si>
  <si>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</si>
  <si>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</si>
  <si>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</si>
  <si>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</si>
  <si>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</si>
  <si>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</si>
  <si>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</si>
  <si>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</si>
  <si>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</si>
  <si>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</si>
  <si>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</si>
  <si>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</si>
  <si>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</si>
  <si>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</si>
  <si>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</si>
  <si>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</si>
  <si>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</si>
  <si>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</si>
  <si>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</si>
  <si>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</si>
  <si>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</si>
  <si>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</si>
  <si>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</si>
  <si>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</si>
  <si>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</si>
  <si>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</si>
  <si>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</si>
  <si>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</si>
  <si>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</si>
  <si>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</si>
  <si>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</si>
  <si>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</si>
  <si>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</si>
  <si>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</si>
  <si>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</si>
  <si>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</si>
  <si>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</si>
  <si>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</si>
  <si>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</si>
  <si>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</si>
  <si>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</si>
  <si>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</si>
  <si>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</si>
  <si>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</si>
  <si>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</si>
  <si>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</si>
  <si>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</si>
  <si>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</si>
  <si>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</si>
  <si>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</si>
  <si>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</si>
  <si>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</si>
  <si>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</si>
  <si>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</si>
  <si>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</si>
  <si>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</si>
  <si>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</si>
  <si>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</si>
  <si>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</si>
  <si>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</si>
  <si>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</si>
  <si>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</si>
  <si>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</si>
  <si>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</si>
  <si>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</si>
  <si>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</si>
  <si>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</si>
  <si>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</si>
  <si>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</si>
  <si>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</si>
  <si>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</si>
  <si>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</si>
  <si>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</si>
  <si>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</si>
  <si>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</si>
  <si>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</si>
  <si>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</si>
  <si>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</si>
  <si>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</si>
  <si>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</si>
  <si>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</si>
  <si>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</si>
  <si>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</si>
  <si>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</si>
  <si>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</si>
  <si>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</si>
  <si>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</si>
  <si>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</si>
  <si>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</si>
  <si>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</si>
  <si>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</si>
  <si>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</si>
  <si>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</si>
  <si>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</si>
  <si>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</si>
  <si>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</si>
  <si>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</si>
  <si>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</si>
  <si>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</si>
  <si>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</si>
  <si>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</si>
  <si>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</si>
  <si>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</si>
  <si>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</si>
  <si>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</si>
  <si>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</si>
  <si>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</si>
  <si>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</si>
  <si>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</si>
  <si>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</si>
  <si>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</si>
  <si>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</si>
  <si>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</si>
  <si>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</si>
  <si>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</si>
  <si>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</si>
  <si>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</si>
  <si>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</si>
  <si>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</si>
  <si>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</si>
  <si>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</si>
  <si>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</si>
  <si>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</si>
  <si>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</si>
  <si>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</si>
  <si>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</si>
  <si>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</si>
  <si>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</si>
  <si>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</si>
  <si>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</si>
  <si>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</si>
  <si>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</si>
  <si>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</si>
  <si>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</si>
  <si>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</si>
  <si>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</si>
  <si>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</si>
  <si>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</si>
  <si>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</si>
  <si>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</si>
  <si>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</si>
  <si>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</si>
  <si>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</si>
  <si>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</si>
  <si>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</si>
  <si>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</si>
  <si>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</si>
  <si>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</si>
  <si>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</si>
  <si>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</si>
  <si>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</si>
  <si>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</si>
  <si>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</si>
  <si>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</si>
  <si>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</si>
  <si>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</si>
  <si>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</si>
  <si>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</si>
  <si>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</si>
  <si>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</si>
  <si>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</si>
  <si>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</si>
  <si>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</si>
  <si>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</si>
  <si>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</si>
  <si>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</si>
  <si>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</si>
  <si>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</si>
  <si>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</si>
  <si>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</si>
  <si>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</si>
  <si>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</si>
  <si>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</si>
  <si>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</si>
  <si>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</si>
  <si>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</si>
  <si>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</si>
  <si>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</si>
  <si>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</si>
  <si>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</si>
  <si>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</si>
  <si>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</si>
  <si>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</si>
  <si>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</si>
  <si>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</si>
  <si>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</si>
  <si>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</si>
  <si>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</si>
  <si>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</si>
  <si>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</si>
  <si>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</si>
  <si>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</si>
  <si>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</si>
  <si>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</si>
  <si>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</si>
  <si>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</si>
  <si>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</si>
  <si>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</si>
  <si>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</si>
  <si>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</si>
  <si>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</si>
  <si>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</si>
  <si>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</si>
  <si>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</si>
  <si>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</si>
  <si>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</si>
  <si>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</si>
  <si>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</si>
  <si>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</si>
  <si>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</si>
  <si>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</si>
  <si>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</si>
  <si>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</si>
  <si>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</si>
  <si>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</si>
  <si>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</si>
  <si>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</si>
  <si>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</si>
  <si>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</si>
  <si>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</si>
  <si>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</si>
  <si>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</si>
  <si>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</si>
  <si>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</si>
  <si>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</si>
  <si>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</si>
  <si>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</si>
  <si>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</si>
  <si>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</si>
  <si>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</si>
  <si>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</si>
  <si>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</si>
  <si>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</si>
  <si>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</si>
  <si>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</si>
  <si>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</si>
  <si>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</si>
  <si>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</si>
  <si>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</si>
  <si>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</si>
  <si>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</si>
  <si>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</si>
  <si>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</si>
  <si>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</si>
  <si>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</si>
  <si>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</si>
  <si>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</si>
  <si>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</si>
  <si>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</si>
  <si>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</si>
  <si>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</si>
  <si>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</si>
  <si>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</si>
  <si>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</si>
  <si>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</si>
  <si>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</si>
  <si>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</si>
  <si>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</si>
  <si>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</si>
  <si>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</si>
  <si>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</si>
  <si>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</si>
  <si>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</si>
  <si>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</si>
  <si>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</si>
  <si>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</si>
  <si>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</si>
  <si>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</si>
  <si>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</si>
  <si>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</si>
  <si>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</si>
  <si>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</si>
  <si>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</si>
  <si>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</si>
  <si>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</si>
  <si>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</si>
  <si>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</si>
  <si>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</si>
  <si>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</si>
  <si>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</si>
  <si>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</si>
  <si>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</si>
  <si>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</si>
  <si>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</si>
  <si>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</si>
  <si>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</si>
  <si>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</si>
  <si>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</si>
  <si>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</si>
  <si>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</si>
  <si>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</si>
  <si>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</si>
  <si>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</si>
  <si>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</si>
  <si>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</si>
  <si>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</si>
  <si>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</si>
  <si>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</si>
  <si>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</si>
  <si>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</si>
  <si>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</si>
  <si>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</si>
  <si>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</si>
  <si>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</si>
  <si>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</si>
  <si>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</si>
  <si>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</si>
  <si>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</si>
  <si>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</si>
  <si>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</si>
  <si>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</si>
  <si>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</si>
  <si>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</si>
  <si>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</si>
  <si>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</si>
  <si>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</si>
  <si>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</si>
  <si>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</si>
  <si>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</si>
  <si>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</si>
  <si>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</si>
  <si>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</si>
  <si>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</si>
  <si>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</si>
  <si>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</si>
  <si>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</si>
  <si>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</si>
  <si>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</si>
  <si>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</si>
  <si>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</si>
  <si>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</si>
  <si>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</si>
  <si>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</si>
  <si>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</si>
  <si>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</si>
  <si>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</si>
  <si>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</si>
  <si>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</si>
  <si>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</si>
  <si>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</si>
  <si>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</si>
  <si>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</si>
  <si>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</si>
  <si>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</si>
  <si>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</si>
  <si>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</si>
  <si>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</si>
  <si>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</si>
  <si>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</si>
  <si>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</si>
  <si>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</si>
  <si>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</si>
  <si>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</si>
  <si>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</si>
  <si>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</si>
  <si>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</si>
  <si>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</si>
  <si>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</si>
  <si>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</si>
  <si>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</si>
  <si>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</si>
  <si>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</si>
  <si>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</si>
  <si>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</si>
  <si>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</si>
  <si>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</si>
  <si>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</si>
  <si>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</si>
  <si>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</si>
  <si>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</si>
  <si>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</si>
  <si>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</si>
  <si>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</si>
  <si>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</si>
  <si>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</si>
  <si>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</si>
  <si>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</si>
  <si>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</si>
  <si>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</si>
  <si>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</si>
  <si>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</si>
  <si>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</si>
  <si>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</si>
  <si>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</si>
  <si>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</si>
  <si>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</si>
  <si>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</si>
  <si>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</si>
  <si>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</si>
  <si>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</si>
  <si>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</si>
  <si>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</si>
  <si>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</si>
  <si>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</si>
  <si>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</si>
  <si>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</si>
  <si>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</si>
  <si>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</si>
  <si>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</si>
  <si>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</si>
  <si>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</si>
  <si>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</si>
  <si>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</si>
  <si>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</si>
  <si>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</si>
  <si>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</si>
  <si>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</si>
  <si>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</si>
  <si>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</si>
  <si>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</si>
  <si>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</si>
  <si>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</si>
  <si>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</si>
  <si>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</si>
  <si>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</si>
  <si>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</si>
  <si>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</si>
  <si>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</si>
  <si>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</si>
  <si>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</si>
  <si>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</si>
  <si>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</si>
  <si>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</si>
  <si>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</si>
  <si>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</si>
  <si>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</si>
  <si>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</si>
  <si>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</si>
  <si>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</si>
  <si>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</si>
  <si>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</si>
  <si>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</si>
  <si>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</si>
  <si>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</si>
  <si>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</si>
  <si>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</si>
  <si>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</si>
  <si>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</si>
  <si>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</si>
  <si>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</si>
  <si>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</si>
  <si>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</si>
  <si>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</si>
  <si>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</si>
  <si>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</si>
  <si>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</si>
  <si>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</si>
  <si>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</si>
  <si>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</si>
  <si>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</si>
  <si>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</si>
  <si>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</si>
  <si>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</si>
  <si>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</si>
  <si>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</si>
  <si>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</si>
  <si>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</si>
  <si>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</si>
  <si>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</si>
  <si>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</si>
  <si>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</si>
  <si>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</si>
  <si>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</si>
  <si>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</si>
  <si>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</si>
  <si>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</si>
  <si>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</si>
  <si>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</si>
  <si>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</si>
  <si>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</si>
  <si>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</si>
  <si>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</si>
  <si>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</si>
  <si>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</si>
  <si>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</si>
  <si>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</si>
  <si>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</si>
  <si>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</si>
  <si>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</si>
  <si>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</si>
  <si>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</si>
  <si>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</si>
  <si>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</si>
  <si>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</si>
  <si>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</si>
  <si>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</si>
  <si>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</si>
  <si>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</si>
  <si>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</si>
  <si>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</si>
  <si>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</si>
  <si>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</si>
  <si>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</si>
  <si>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</si>
  <si>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</si>
  <si>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</si>
  <si>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</si>
  <si>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</si>
  <si>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</si>
  <si>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</si>
  <si>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</si>
  <si>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</si>
  <si>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</si>
  <si>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</si>
  <si>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</si>
  <si>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</si>
  <si>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</si>
  <si>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</si>
  <si>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</si>
  <si>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</si>
  <si>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</si>
  <si>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</si>
  <si>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</si>
  <si>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</si>
  <si>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</si>
  <si>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</si>
  <si>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</si>
  <si>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</si>
  <si>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</si>
  <si>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</si>
  <si>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</si>
  <si>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</si>
  <si>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</si>
  <si>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</si>
  <si>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</si>
  <si>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</si>
  <si>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</si>
  <si>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</si>
  <si>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</si>
  <si>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</si>
  <si>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</si>
  <si>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</si>
  <si>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</si>
  <si>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</si>
  <si>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</si>
  <si>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</si>
  <si>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</si>
  <si>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</si>
  <si>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</si>
  <si>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</si>
  <si>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</si>
  <si>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</si>
  <si>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</si>
  <si>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</si>
  <si>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</si>
  <si>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</si>
  <si>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</si>
  <si>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</si>
  <si>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</si>
  <si>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</si>
  <si>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</si>
  <si>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</si>
  <si>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</si>
  <si>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</si>
  <si>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</si>
  <si>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</si>
  <si>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</si>
  <si>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</si>
  <si>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</si>
  <si>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</si>
  <si>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</si>
  <si>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</si>
  <si>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</si>
  <si>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</si>
  <si>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</si>
  <si>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</si>
  <si>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</si>
  <si>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</si>
  <si>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</si>
  <si>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</si>
  <si>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</si>
  <si>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</si>
  <si>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</si>
  <si>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</si>
  <si>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</si>
  <si>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</si>
  <si>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</si>
  <si>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</si>
  <si>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</si>
  <si>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</si>
  <si>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</si>
  <si>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</si>
  <si>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</si>
  <si>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</si>
  <si>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</si>
  <si>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</si>
  <si>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</si>
  <si>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</si>
  <si>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</si>
  <si>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</si>
  <si>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</si>
  <si>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</si>
  <si>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</si>
  <si>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</si>
  <si>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</si>
  <si>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</si>
  <si>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</si>
  <si>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</si>
  <si>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</si>
  <si>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</si>
  <si>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</si>
  <si>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</si>
  <si>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</si>
  <si>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</si>
  <si>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</si>
  <si>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</si>
  <si>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</si>
  <si>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</si>
  <si>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</si>
  <si>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</si>
  <si>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</si>
  <si>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</si>
  <si>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</si>
  <si>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</si>
  <si>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</si>
  <si>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</si>
  <si>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</si>
  <si>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</si>
  <si>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</si>
  <si>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</si>
  <si>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</si>
  <si>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</si>
  <si>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</si>
  <si>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</si>
  <si>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</si>
  <si>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</si>
  <si>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</si>
  <si>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</si>
  <si>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</si>
  <si>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</si>
  <si>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</si>
  <si>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</si>
  <si>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</si>
  <si>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</si>
  <si>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</si>
  <si>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</si>
  <si>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</si>
  <si>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</si>
  <si>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</si>
  <si>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</si>
  <si>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</si>
  <si>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</si>
  <si>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</si>
  <si>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</si>
  <si>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</si>
  <si>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</si>
  <si>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</si>
  <si>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</si>
  <si>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</si>
  <si>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</si>
  <si>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</si>
  <si>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</si>
  <si>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</si>
  <si>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</si>
  <si>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</si>
  <si>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</si>
  <si>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</si>
  <si>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</si>
  <si>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</si>
  <si>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</si>
  <si>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</si>
  <si>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</si>
  <si>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</si>
  <si>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</si>
  <si>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</si>
  <si>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</si>
  <si>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</si>
  <si>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</si>
  <si>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</si>
  <si>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</si>
  <si>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</si>
  <si>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</si>
  <si>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</si>
  <si>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</si>
  <si>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</si>
  <si>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</si>
  <si>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</si>
  <si>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</si>
  <si>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</si>
  <si>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</si>
  <si>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</si>
  <si>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</si>
  <si>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</si>
  <si>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</si>
  <si>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</si>
  <si>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</si>
  <si>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</si>
  <si>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</si>
  <si>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</si>
  <si>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</si>
  <si>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</si>
  <si>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</si>
  <si>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</si>
  <si>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</si>
  <si>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</si>
  <si>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</si>
  <si>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</si>
  <si>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</si>
  <si>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</si>
  <si>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</si>
  <si>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</si>
  <si>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</si>
  <si>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</si>
  <si>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</si>
  <si>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</si>
  <si>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</si>
  <si>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</si>
  <si>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</si>
  <si>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</si>
  <si>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</si>
  <si>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</si>
  <si>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</si>
  <si>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</si>
  <si>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</si>
  <si>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</si>
  <si>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</si>
  <si>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</si>
  <si>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</si>
  <si>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</si>
  <si>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</si>
  <si>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</si>
  <si>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</si>
  <si>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</si>
  <si>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</si>
  <si>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</si>
  <si>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</si>
  <si>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</si>
  <si>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</si>
  <si>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</si>
  <si>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</si>
  <si>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</si>
  <si>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</si>
  <si>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</si>
  <si>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</si>
  <si>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</si>
  <si>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</si>
  <si>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</si>
  <si>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</si>
  <si>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</si>
  <si>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</si>
  <si>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</si>
  <si>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</si>
  <si>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</si>
  <si>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</si>
  <si>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</si>
  <si>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</si>
  <si>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</si>
  <si>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</si>
  <si>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</si>
  <si>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</si>
  <si>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</si>
  <si>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</si>
  <si>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</si>
  <si>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</si>
  <si>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</si>
  <si>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</si>
  <si>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</si>
  <si>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</si>
  <si>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</si>
  <si>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</si>
  <si>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</si>
  <si>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</si>
  <si>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</si>
  <si>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</si>
  <si>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</si>
  <si>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</si>
  <si>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</si>
  <si>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</si>
  <si>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</si>
  <si>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</si>
  <si>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</si>
  <si>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</si>
  <si>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</si>
  <si>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</si>
  <si>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</si>
  <si>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</si>
  <si>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</si>
  <si>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</si>
  <si>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</si>
  <si>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</si>
  <si>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</si>
  <si>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</si>
  <si>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</si>
  <si>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</si>
  <si>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</si>
  <si>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</si>
  <si>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</si>
  <si>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</si>
  <si>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</si>
  <si>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</si>
  <si>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</si>
  <si>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</si>
  <si>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</si>
  <si>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</si>
  <si>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</si>
  <si>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</si>
  <si>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</si>
  <si>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</si>
  <si>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</si>
  <si>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</si>
  <si>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</si>
  <si>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</si>
  <si>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</si>
  <si>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</si>
  <si>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</si>
  <si>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</si>
  <si>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</si>
  <si>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</si>
  <si>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</si>
  <si>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</si>
  <si>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</si>
  <si>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</si>
  <si>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</si>
  <si>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</si>
  <si>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</si>
  <si>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</si>
  <si>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</si>
  <si>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</si>
  <si>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</si>
  <si>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</si>
  <si>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</si>
  <si>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</si>
  <si>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</si>
  <si>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</si>
  <si>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</si>
  <si>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</si>
  <si>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</si>
  <si>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</si>
  <si>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</si>
  <si>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</si>
  <si>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</si>
  <si>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</si>
  <si>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</si>
  <si>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</si>
  <si>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</si>
  <si>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</si>
  <si>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</si>
  <si>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</si>
  <si>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</si>
  <si>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</si>
  <si>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</si>
  <si>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</si>
  <si>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</si>
  <si>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</si>
  <si>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</si>
  <si>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</si>
  <si>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</si>
  <si>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</si>
  <si>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</si>
  <si>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</si>
  <si>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</si>
  <si>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</si>
  <si>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</si>
  <si>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</si>
  <si>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</si>
  <si>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</si>
  <si>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</si>
  <si>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</si>
  <si>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</si>
  <si>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</si>
  <si>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</si>
  <si>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</si>
  <si>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</si>
  <si>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</si>
  <si>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</si>
  <si>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</si>
  <si>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</si>
  <si>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</si>
  <si>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</si>
  <si>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</si>
  <si>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</si>
  <si>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</si>
  <si>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</si>
  <si>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</si>
  <si>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</si>
  <si>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</si>
  <si>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</si>
  <si>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</si>
  <si>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</si>
  <si>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</si>
  <si>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</si>
  <si>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</si>
  <si>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</si>
  <si>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</si>
  <si>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</si>
  <si>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</si>
  <si>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</si>
  <si>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</si>
  <si>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</si>
  <si>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</si>
  <si>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</si>
  <si>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</si>
  <si>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</si>
  <si>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</si>
  <si>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</si>
  <si>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</si>
  <si>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</si>
  <si>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</si>
  <si>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</si>
  <si>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</si>
  <si>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</si>
  <si>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</si>
  <si>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</si>
  <si>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</si>
  <si>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</si>
  <si>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</si>
  <si>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</si>
  <si>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</si>
  <si>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</si>
  <si>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</si>
  <si>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</si>
  <si>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</si>
  <si>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</si>
  <si>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</si>
  <si>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</si>
  <si>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</si>
  <si>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</si>
  <si>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</si>
  <si>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</si>
  <si>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</si>
  <si>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</si>
  <si>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</si>
  <si>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</si>
  <si>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</si>
  <si>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</si>
  <si>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</si>
  <si>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</si>
  <si>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</si>
  <si>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</si>
  <si>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</si>
  <si>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</si>
  <si>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</si>
  <si>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</si>
  <si>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</si>
  <si>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</si>
  <si>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</si>
  <si>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</si>
  <si>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</si>
  <si>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</si>
  <si>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</si>
  <si>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</si>
  <si>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</si>
  <si>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</si>
  <si>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</si>
  <si>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</si>
  <si>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</si>
  <si>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</si>
  <si>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</si>
  <si>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</si>
  <si>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</si>
  <si>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</si>
  <si>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</si>
  <si>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</si>
  <si>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</si>
  <si>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</si>
  <si>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</si>
  <si>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</si>
  <si>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</si>
  <si>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</si>
  <si>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</si>
  <si>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</si>
  <si>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</si>
  <si>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</si>
  <si>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</si>
  <si>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</si>
  <si>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</si>
  <si>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</si>
  <si>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</si>
  <si>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</si>
  <si>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</si>
  <si>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</si>
  <si>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</si>
  <si>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</si>
  <si>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</si>
  <si>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</si>
  <si>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</si>
  <si>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</si>
  <si>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</si>
  <si>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</si>
  <si>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</si>
  <si>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</si>
  <si>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</si>
  <si>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</si>
  <si>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</si>
  <si>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</si>
  <si>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</si>
  <si>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</si>
  <si>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</si>
  <si>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</si>
  <si>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</si>
  <si>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</si>
  <si>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</si>
  <si>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</si>
  <si>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</si>
  <si>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</si>
  <si>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</si>
  <si>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</si>
  <si>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</si>
  <si>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</si>
  <si>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</si>
  <si>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</si>
  <si>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</si>
  <si>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</si>
  <si>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</si>
  <si>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</si>
  <si>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</si>
  <si>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</si>
  <si>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</si>
  <si>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</si>
  <si>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</si>
  <si>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</si>
  <si>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</si>
  <si>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</si>
  <si>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</si>
  <si>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</si>
  <si>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</si>
  <si>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</si>
  <si>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</si>
  <si>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</si>
  <si>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</si>
  <si>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</si>
  <si>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</si>
  <si>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</si>
  <si>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</si>
  <si>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</si>
  <si>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</si>
  <si>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</si>
  <si>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</si>
  <si>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</si>
  <si>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</si>
  <si>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</si>
  <si>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</si>
  <si>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</si>
  <si>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</si>
  <si>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</si>
  <si>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</si>
  <si>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</si>
  <si>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</si>
  <si>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</si>
  <si>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</si>
  <si>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</si>
  <si>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</si>
  <si>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</si>
  <si>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</si>
  <si>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</si>
  <si>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</si>
  <si>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</si>
  <si>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</si>
  <si>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</si>
  <si>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</si>
  <si>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</si>
  <si>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</si>
  <si>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</si>
  <si>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</si>
  <si>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</si>
  <si>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</si>
  <si>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</si>
  <si>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</si>
  <si>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</si>
  <si>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</si>
  <si>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</si>
  <si>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</si>
  <si>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</si>
  <si>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</si>
  <si>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</si>
  <si>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</si>
  <si>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</si>
  <si>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</si>
  <si>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</si>
  <si>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</si>
  <si>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</si>
  <si>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</si>
  <si>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</si>
  <si>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</si>
  <si>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</si>
  <si>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</si>
  <si>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</si>
  <si>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</si>
  <si>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</si>
  <si>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</si>
  <si>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</si>
  <si>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</si>
  <si>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</si>
  <si>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</si>
  <si>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</si>
  <si>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</si>
  <si>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</si>
  <si>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</si>
  <si>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</si>
  <si>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</si>
  <si>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</si>
  <si>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</si>
  <si>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</si>
  <si>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</si>
  <si>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</si>
  <si>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</si>
  <si>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</si>
  <si>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</si>
  <si>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</si>
  <si>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</si>
  <si>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</si>
  <si>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</si>
  <si>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</si>
  <si>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</si>
  <si>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</si>
  <si>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</si>
  <si>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</si>
  <si>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</si>
  <si>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</si>
  <si>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</si>
  <si>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</si>
  <si>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</si>
  <si>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</si>
  <si>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</si>
  <si>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</si>
  <si>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</si>
  <si>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</si>
  <si>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</si>
  <si>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</si>
  <si>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</si>
  <si>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</si>
  <si>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</si>
  <si>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</si>
  <si>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</si>
  <si>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</si>
  <si>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</si>
  <si>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</si>
  <si>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</si>
  <si>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</si>
  <si>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</si>
  <si>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</si>
  <si>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</si>
  <si>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</si>
  <si>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</si>
  <si>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</si>
  <si>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</si>
  <si>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</si>
  <si>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</si>
  <si>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</si>
  <si>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</si>
  <si>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</si>
  <si>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</si>
  <si>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</si>
  <si>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</si>
  <si>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</si>
  <si>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</si>
  <si>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</si>
  <si>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</si>
  <si>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</si>
  <si>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</si>
  <si>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</si>
  <si>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</si>
  <si>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</si>
  <si>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</si>
  <si>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</si>
  <si>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</si>
  <si>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</si>
  <si>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</si>
  <si>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</si>
  <si>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</si>
  <si>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</si>
  <si>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</si>
  <si>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</si>
  <si>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</si>
  <si>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</si>
  <si>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</si>
  <si>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</si>
  <si>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</si>
  <si>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</si>
  <si>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</si>
  <si>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</si>
  <si>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</si>
  <si>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</si>
  <si>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</si>
  <si>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</si>
  <si>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</si>
  <si>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</si>
  <si>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</si>
  <si>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</si>
  <si>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</si>
  <si>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</si>
  <si>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</si>
  <si>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</si>
  <si>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</si>
  <si>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</si>
  <si>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</si>
  <si>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</si>
  <si>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</si>
  <si>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</si>
  <si>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</si>
  <si>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</si>
  <si>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</si>
  <si>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</si>
  <si>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</si>
  <si>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</si>
  <si>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</si>
  <si>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</si>
  <si>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</si>
  <si>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</si>
  <si>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</si>
  <si>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</si>
  <si>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</si>
  <si>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</si>
  <si>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</si>
  <si>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</si>
  <si>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</si>
  <si>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</si>
  <si>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</si>
  <si>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</si>
  <si>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</si>
  <si>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</si>
  <si>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</si>
  <si>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</si>
  <si>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</si>
  <si>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</si>
  <si>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</si>
  <si>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</si>
  <si>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</si>
  <si>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</si>
  <si>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</si>
  <si>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</si>
  <si>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</si>
  <si>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</si>
  <si>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</si>
  <si>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</si>
  <si>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</si>
  <si>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</si>
  <si>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</si>
  <si>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</si>
  <si>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</si>
  <si>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</si>
  <si>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</si>
  <si>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</si>
  <si>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</si>
  <si>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</si>
  <si>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</si>
  <si>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</si>
  <si>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</si>
  <si>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</si>
  <si>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</si>
  <si>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</si>
  <si>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</si>
  <si>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</si>
  <si>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</si>
  <si>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</si>
  <si>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</si>
  <si>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</si>
  <si>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</si>
  <si>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</si>
  <si>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</si>
  <si>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</si>
  <si>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</si>
  <si>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</si>
  <si>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</si>
  <si>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</si>
  <si>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</si>
  <si>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</si>
  <si>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</si>
  <si>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</si>
  <si>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</si>
  <si>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</si>
  <si>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</si>
  <si>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</si>
  <si>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</si>
  <si>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</si>
  <si>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</si>
  <si>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</si>
  <si>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</si>
  <si>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</si>
  <si>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</si>
  <si>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</si>
  <si>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</si>
  <si>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</si>
  <si>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</si>
  <si>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</si>
  <si>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</si>
  <si>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</si>
  <si>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</si>
  <si>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</si>
  <si>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</si>
  <si>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</si>
  <si>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</si>
  <si>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</si>
  <si>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</si>
  <si>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</si>
  <si>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</si>
  <si>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</si>
  <si>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</si>
  <si>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</si>
  <si>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</si>
  <si>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</si>
  <si>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</si>
  <si>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</si>
  <si>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</si>
  <si>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</si>
  <si>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</si>
  <si>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</si>
  <si>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</si>
  <si>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</si>
  <si>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</si>
  <si>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</si>
  <si>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</si>
  <si>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</si>
  <si>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</si>
  <si>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</si>
  <si>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</si>
  <si>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</si>
  <si>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</si>
  <si>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</si>
  <si>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</si>
  <si>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</si>
  <si>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</si>
  <si>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</si>
  <si>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</si>
  <si>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</si>
  <si>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</si>
  <si>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</si>
  <si>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</si>
  <si>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</si>
  <si>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</si>
  <si>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</si>
  <si>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</si>
  <si>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</si>
  <si>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</si>
  <si>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</si>
  <si>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</si>
  <si>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</si>
  <si>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</si>
  <si>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</si>
  <si>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</si>
  <si>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</si>
  <si>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</si>
  <si>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</si>
  <si>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</si>
  <si>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</si>
  <si>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</si>
  <si>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</si>
  <si>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</si>
  <si>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</si>
  <si>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</si>
  <si>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</si>
  <si>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</si>
  <si>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</si>
  <si>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</si>
  <si>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</si>
  <si>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</si>
  <si>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</si>
  <si>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</si>
  <si>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</si>
  <si>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</si>
  <si>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</si>
  <si>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</si>
  <si>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</si>
  <si>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</si>
  <si>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</si>
  <si>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</si>
  <si>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</si>
  <si>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</si>
  <si>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</si>
  <si>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</si>
  <si>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</si>
  <si>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</si>
  <si>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</si>
  <si>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</si>
  <si>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</si>
  <si>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</si>
  <si>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</si>
  <si>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</si>
  <si>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</si>
  <si>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</si>
  <si>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</si>
  <si>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</si>
  <si>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</si>
  <si>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</si>
  <si>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</si>
  <si>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</si>
  <si>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</si>
  <si>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</si>
  <si>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</si>
  <si>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</si>
  <si>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</si>
  <si>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</si>
  <si>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</si>
  <si>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</si>
  <si>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</si>
  <si>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</si>
  <si>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</si>
  <si>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</si>
  <si>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</si>
  <si>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</si>
  <si>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</si>
  <si>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</si>
  <si>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</si>
  <si>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</si>
  <si>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</si>
  <si>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</si>
  <si>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</si>
  <si>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</si>
  <si>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</si>
  <si>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</si>
  <si>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</si>
  <si>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</si>
  <si>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</si>
  <si>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</si>
  <si>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</si>
  <si>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</si>
  <si>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</si>
  <si>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</si>
  <si>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</si>
  <si>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</si>
  <si>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</si>
  <si>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</si>
  <si>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</si>
  <si>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</si>
  <si>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</si>
  <si>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</si>
  <si>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</si>
  <si>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</si>
  <si>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</si>
  <si>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</si>
  <si>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</si>
  <si>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</si>
  <si>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</si>
  <si>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</si>
  <si>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</si>
  <si>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</si>
  <si>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</si>
  <si>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</si>
  <si>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</si>
  <si>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</si>
  <si>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</si>
  <si>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</si>
  <si>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</si>
  <si>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</si>
  <si>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</si>
  <si>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</si>
  <si>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</si>
  <si>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</si>
  <si>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</si>
  <si>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</si>
  <si>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</si>
  <si>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</si>
  <si>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</si>
  <si>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</si>
  <si>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</si>
  <si>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</si>
  <si>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</si>
  <si>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</si>
  <si>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</si>
  <si>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</si>
  <si>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</si>
  <si>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</si>
  <si>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</si>
  <si>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</si>
  <si>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</si>
  <si>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</si>
  <si>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</si>
  <si>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</si>
  <si>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</si>
  <si>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</si>
  <si>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</si>
  <si>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</si>
  <si>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</si>
  <si>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</si>
  <si>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</si>
  <si>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</si>
  <si>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</si>
  <si>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</si>
  <si>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</si>
  <si>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</si>
  <si>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</si>
  <si>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</si>
  <si>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</si>
  <si>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</si>
  <si>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</si>
  <si>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</si>
  <si>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</si>
  <si>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</si>
  <si>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</si>
  <si>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</si>
  <si>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</si>
  <si>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</si>
  <si>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</si>
  <si>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</si>
  <si>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</si>
  <si>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</si>
  <si>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</si>
  <si>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</si>
  <si>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</si>
  <si>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</si>
  <si>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</si>
  <si>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</si>
  <si>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</si>
  <si>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</si>
  <si>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</si>
  <si>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</si>
  <si>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</si>
  <si>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</si>
  <si>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</si>
  <si>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</si>
  <si>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</si>
  <si>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</si>
  <si>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</si>
  <si>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</si>
  <si>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</si>
  <si>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</si>
  <si>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</si>
  <si>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</si>
  <si>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</si>
  <si>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</si>
  <si>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</si>
  <si>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</si>
  <si>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</si>
  <si>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</si>
  <si>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</si>
  <si>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</si>
  <si>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</si>
  <si>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</si>
  <si>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</si>
  <si>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</si>
  <si>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</si>
  <si>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</si>
  <si>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</si>
  <si>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</si>
  <si>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</si>
  <si>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</si>
  <si>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</si>
  <si>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</si>
  <si>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</si>
  <si>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</si>
  <si>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</si>
  <si>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</si>
  <si>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</si>
  <si>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</si>
  <si>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</si>
  <si>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</si>
  <si>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</si>
  <si>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</si>
  <si>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</si>
  <si>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</si>
  <si>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</si>
  <si>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</si>
  <si>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</si>
  <si>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</si>
  <si>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</si>
  <si>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</si>
  <si>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</si>
  <si>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</si>
  <si>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</si>
  <si>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</si>
  <si>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</si>
  <si>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</si>
  <si>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</si>
  <si>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</si>
  <si>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</si>
  <si>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</si>
  <si>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</si>
  <si>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</si>
  <si>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</si>
  <si>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</si>
  <si>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</si>
  <si>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</si>
  <si>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</si>
  <si>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</si>
  <si>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</si>
  <si>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</si>
  <si>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</si>
  <si>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</si>
  <si>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</si>
  <si>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</si>
  <si>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</si>
  <si>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</si>
  <si>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</si>
  <si>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</si>
  <si>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</si>
  <si>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</si>
  <si>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</si>
  <si>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</si>
  <si>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</si>
  <si>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</si>
  <si>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</si>
  <si>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</si>
  <si>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</si>
  <si>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</si>
  <si>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</si>
  <si>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</si>
  <si>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</si>
  <si>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</si>
  <si>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</si>
  <si>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</si>
  <si>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</si>
  <si>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</si>
  <si>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</si>
  <si>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</si>
  <si>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</si>
  <si>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</si>
  <si>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</si>
  <si>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</si>
  <si>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</si>
  <si>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</si>
  <si>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</si>
  <si>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</si>
  <si>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</si>
  <si>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</si>
  <si>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</si>
  <si>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</si>
  <si>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</si>
  <si>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</si>
  <si>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</si>
  <si>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</si>
  <si>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</si>
  <si>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</si>
  <si>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</si>
  <si>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</si>
  <si>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</si>
  <si>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</si>
  <si>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</si>
  <si>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</si>
  <si>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</si>
  <si>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</si>
  <si>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</si>
  <si>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</si>
  <si>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</si>
  <si>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</si>
  <si>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</si>
  <si>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</si>
  <si>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</si>
  <si>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</si>
  <si>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</si>
  <si>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</si>
  <si>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</si>
  <si>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</si>
  <si>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</si>
  <si>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</si>
  <si>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</si>
  <si>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</si>
  <si>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</si>
  <si>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</si>
  <si>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</si>
  <si>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</si>
  <si>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</si>
  <si>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</si>
  <si>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</si>
  <si>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</si>
  <si>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</si>
  <si>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</si>
  <si>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</si>
  <si>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</si>
  <si>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</si>
  <si>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</si>
  <si>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</si>
  <si>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</si>
  <si>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</si>
  <si>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</si>
  <si>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</si>
  <si>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</si>
  <si>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</si>
  <si>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</si>
  <si>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</si>
  <si>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</si>
  <si>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</si>
  <si>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</si>
  <si>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</si>
  <si>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</si>
  <si>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</si>
  <si>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</si>
  <si>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</si>
  <si>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</si>
  <si>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</si>
  <si>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</si>
  <si>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</si>
  <si>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</si>
  <si>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</si>
  <si>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</si>
  <si>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</si>
  <si>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</si>
  <si>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</si>
  <si>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</si>
  <si>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</si>
  <si>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</si>
  <si>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</si>
  <si>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</si>
  <si>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</si>
  <si>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</si>
  <si>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</si>
  <si>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</si>
  <si>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</si>
  <si>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</si>
  <si>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</si>
  <si>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</si>
  <si>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</si>
  <si>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</si>
  <si>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</si>
  <si>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</si>
  <si>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</si>
  <si>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</si>
  <si>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</si>
  <si>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</si>
  <si>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</si>
  <si>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</si>
  <si>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</si>
  <si>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</si>
  <si>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</si>
  <si>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</si>
  <si>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</si>
  <si>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</si>
  <si>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</si>
  <si>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</si>
  <si>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</si>
  <si>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</si>
  <si>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</si>
  <si>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</si>
  <si>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</si>
  <si>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</si>
  <si>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</si>
  <si>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</si>
  <si>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</si>
  <si>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</si>
  <si>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</si>
  <si>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</si>
  <si>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</si>
  <si>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</si>
  <si>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</si>
  <si>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</si>
  <si>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</si>
  <si>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</si>
  <si>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</si>
  <si>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</si>
  <si>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</si>
  <si>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</si>
  <si>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</si>
  <si>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</si>
  <si>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</si>
  <si>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</si>
  <si>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</si>
  <si>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</si>
  <si>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</si>
  <si>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</si>
  <si>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</si>
  <si>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</si>
  <si>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</si>
  <si>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</si>
  <si>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</si>
  <si>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</si>
  <si>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</si>
  <si>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</si>
  <si>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</si>
  <si>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</si>
  <si>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</si>
  <si>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</si>
  <si>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</si>
  <si>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</si>
  <si>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</si>
  <si>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</si>
  <si>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</si>
  <si>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</si>
  <si>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</si>
  <si>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</si>
  <si>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</si>
  <si>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</si>
  <si>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</si>
  <si>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</si>
  <si>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</si>
  <si>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</si>
  <si>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</si>
  <si>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</si>
  <si>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</si>
  <si>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</si>
  <si>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</si>
  <si>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</si>
  <si>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</si>
  <si>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</si>
  <si>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</si>
  <si>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</si>
  <si>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</si>
  <si>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</si>
  <si>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</si>
  <si>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</si>
  <si>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</si>
  <si>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</si>
  <si>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</si>
  <si>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</si>
  <si>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</si>
  <si>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</si>
  <si>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</si>
  <si>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</si>
  <si>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</si>
  <si>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</si>
  <si>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</si>
  <si>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</si>
  <si>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</si>
  <si>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</si>
  <si>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</si>
  <si>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</si>
  <si>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</si>
  <si>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</si>
  <si>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</si>
  <si>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</si>
  <si>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</si>
  <si>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</si>
  <si>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</si>
  <si>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</si>
  <si>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</si>
  <si>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</si>
  <si>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</si>
  <si>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</si>
  <si>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</si>
  <si>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</si>
  <si>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</si>
  <si>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</si>
  <si>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</si>
  <si>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</si>
  <si>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</si>
  <si>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</si>
  <si>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</si>
  <si>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</si>
  <si>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</si>
  <si>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</si>
  <si>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</si>
  <si>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</si>
  <si>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</si>
  <si>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</si>
  <si>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</si>
  <si>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</si>
  <si>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</si>
  <si>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</si>
  <si>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</si>
  <si>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</si>
  <si>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</si>
  <si>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</si>
  <si>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</si>
  <si>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</si>
  <si>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</si>
  <si>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</si>
  <si>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</si>
  <si>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</si>
  <si>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</si>
  <si>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</si>
  <si>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</si>
  <si>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</si>
  <si>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</si>
  <si>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</si>
  <si>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</si>
  <si>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</si>
  <si>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</si>
  <si>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</si>
  <si>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</si>
  <si>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</si>
  <si>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</si>
  <si>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</si>
  <si>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</si>
  <si>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</si>
  <si>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</si>
  <si>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</si>
  <si>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</si>
  <si>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</si>
  <si>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</si>
  <si>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</si>
  <si>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</si>
  <si>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</si>
  <si>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</si>
  <si>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</si>
  <si>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</si>
  <si>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</si>
  <si>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</si>
  <si>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</si>
  <si>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</si>
  <si>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</si>
  <si>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</si>
  <si>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</si>
  <si>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</si>
  <si>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</si>
  <si>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</si>
  <si>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</si>
  <si>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</si>
  <si>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</si>
  <si>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</si>
  <si>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</si>
  <si>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</si>
  <si>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</si>
  <si>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</si>
  <si>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</si>
  <si>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</si>
  <si>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</si>
  <si>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</si>
  <si>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</si>
  <si>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</si>
  <si>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</si>
  <si>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</si>
  <si>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</si>
  <si>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</si>
  <si>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</si>
  <si>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</si>
  <si>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</si>
  <si>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</si>
  <si>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</si>
  <si>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</si>
  <si>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</si>
  <si>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</si>
  <si>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</si>
  <si>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</si>
  <si>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</si>
  <si>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</si>
  <si>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</si>
  <si>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</si>
  <si>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</si>
  <si>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</si>
  <si>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</si>
  <si>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</si>
  <si>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</si>
  <si>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</si>
  <si>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</si>
  <si>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</si>
  <si>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</si>
  <si>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</si>
  <si>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</si>
  <si>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</si>
  <si>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</si>
  <si>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</si>
  <si>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</si>
  <si>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</si>
  <si>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</si>
  <si>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</si>
  <si>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</si>
  <si>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</si>
  <si>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</si>
  <si>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</si>
  <si>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</si>
  <si>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</si>
  <si>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</si>
  <si>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</si>
  <si>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</si>
  <si>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</si>
  <si>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</si>
  <si>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</si>
  <si>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</si>
  <si>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</si>
  <si>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</si>
  <si>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</si>
  <si>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</si>
  <si>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</si>
  <si>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</si>
  <si>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</si>
  <si>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</si>
  <si>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t>Whole Chicken</t>
  </si>
  <si>
    <r>
      <t xml:space="preserve">Chicken Hot Dog </t>
    </r>
    <r>
      <rPr>
        <i/>
        <sz val="30"/>
        <color theme="0" tint="-0.499984740745262"/>
        <rFont val="Calibri"/>
        <family val="2"/>
        <scheme val="minor"/>
      </rPr>
      <t>Standard</t>
    </r>
  </si>
  <si>
    <r>
      <t xml:space="preserve">Stuff immediately into </t>
    </r>
    <r>
      <rPr>
        <b/>
        <sz val="14"/>
        <color rgb="FF3D3D3F"/>
        <rFont val="Calibri"/>
        <family val="2"/>
        <scheme val="minor"/>
      </rPr>
      <t>Natural Sheep Casings or Cellulose Casings</t>
    </r>
    <r>
      <rPr>
        <sz val="14"/>
        <color rgb="FF3D3D3F"/>
        <rFont val="Calibri"/>
        <family val="2"/>
        <scheme val="minor"/>
      </rPr>
      <t xml:space="preserve">.
</t>
    </r>
    <r>
      <rPr>
        <i/>
        <sz val="14"/>
        <color rgb="FF3D3D3F"/>
        <rFont val="Calibri"/>
        <family val="2"/>
        <scheme val="minor"/>
      </rPr>
      <t>Cal. 19/21 is recommended, cal 26 for Jumbo Hot Dogs.</t>
    </r>
  </si>
  <si>
    <r>
      <t xml:space="preserve">Whole Chicken </t>
    </r>
    <r>
      <rPr>
        <sz val="14"/>
        <color theme="0" tint="-0.499984740745262"/>
        <rFont val="Calibri"/>
        <family val="2"/>
      </rPr>
      <t xml:space="preserve">- </t>
    </r>
    <r>
      <rPr>
        <i/>
        <sz val="14"/>
        <color theme="0" tint="-0.499984740745262"/>
        <rFont val="Calibri"/>
        <family val="2"/>
      </rPr>
      <t>or Trimmings, if available</t>
    </r>
  </si>
  <si>
    <t>www.fiRecipes.com/ChickenHotDog</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</si>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</sst>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4"/>
      <color theme="0" tint="-0.499984740745262"/>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167" fontId="50" fillId="6" borderId="4" xfId="0" applyNumberFormat="1" applyFont="1" applyFill="1" applyBorder="1" applyAlignment="1" applyProtection="1">
      <alignment horizontal="right" vertical="center"/>
      <protection locked="0"/>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6"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0" fontId="39" fillId="5" borderId="4" xfId="0"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3" fontId="36" fillId="0" borderId="0" xfId="0" applyNumberFormat="1" applyFont="1" applyAlignment="1">
      <alignment horizontal="left"/>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12" fillId="9" borderId="0" xfId="0" applyNumberFormat="1" applyFont="1" applyFill="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952500</xdr:colOff>
      <xdr:row>0</xdr:row>
      <xdr:rowOff>0</xdr:rowOff>
    </xdr:from>
    <xdr:to>
      <xdr:col>14</xdr:col>
      <xdr:colOff>334868</xdr:colOff>
      <xdr:row>9</xdr:row>
      <xdr:rowOff>198830</xdr:rowOff>
    </xdr:to>
    <xdr:pic>
      <xdr:nvPicPr>
        <xdr:cNvPr id="4" name="Grafik 3">
          <a:extLst>
            <a:ext uri="{FF2B5EF4-FFF2-40B4-BE49-F238E27FC236}">
              <a16:creationId xmlns:a16="http://schemas.microsoft.com/office/drawing/2014/main" id="{7295DDB8-B667-2847-A84F-28DEDE98F96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255" t="7843" r="6536" b="6127"/>
        <a:stretch/>
      </xdr:blipFill>
      <xdr:spPr>
        <a:xfrm>
          <a:off x="6705600" y="0"/>
          <a:ext cx="3662268" cy="25864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HotDog"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8"/>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20"/>
      <c r="K1" s="420"/>
      <c r="L1" s="420"/>
      <c r="M1" s="420"/>
      <c r="N1" s="420"/>
      <c r="O1" s="12"/>
      <c r="P1" s="12"/>
    </row>
    <row r="2" spans="2:24" ht="19" customHeight="1" x14ac:dyDescent="0.2">
      <c r="J2" s="420"/>
      <c r="K2" s="420"/>
      <c r="L2" s="420"/>
      <c r="M2" s="420"/>
      <c r="N2" s="420"/>
      <c r="O2" s="12"/>
      <c r="P2" s="12"/>
    </row>
    <row r="3" spans="2:24" ht="19" customHeight="1" x14ac:dyDescent="0.2">
      <c r="J3" s="420"/>
      <c r="K3" s="420"/>
      <c r="L3" s="420"/>
      <c r="M3" s="420"/>
      <c r="N3" s="420"/>
      <c r="O3" s="12"/>
      <c r="P3" s="12"/>
    </row>
    <row r="4" spans="2:24" ht="19" customHeight="1" x14ac:dyDescent="0.2">
      <c r="J4" s="420"/>
      <c r="K4" s="420"/>
      <c r="L4" s="420"/>
      <c r="M4" s="420"/>
      <c r="N4" s="420"/>
      <c r="O4" s="12"/>
      <c r="P4" s="12"/>
    </row>
    <row r="5" spans="2:24" ht="19" customHeight="1" x14ac:dyDescent="0.2">
      <c r="J5" s="420"/>
      <c r="K5" s="420"/>
      <c r="L5" s="420"/>
      <c r="M5" s="420"/>
      <c r="N5" s="420"/>
      <c r="O5" s="12"/>
      <c r="P5" s="12"/>
    </row>
    <row r="6" spans="2:24" ht="19" customHeight="1" x14ac:dyDescent="0.2">
      <c r="J6" s="420"/>
      <c r="K6" s="420"/>
      <c r="L6" s="420"/>
      <c r="M6" s="420"/>
      <c r="N6" s="420"/>
      <c r="O6" s="12"/>
      <c r="P6" s="12"/>
    </row>
    <row r="7" spans="2:24" ht="19" customHeight="1" x14ac:dyDescent="0.2">
      <c r="J7" s="420"/>
      <c r="K7" s="420"/>
      <c r="L7" s="420"/>
      <c r="M7" s="420"/>
      <c r="N7" s="420"/>
      <c r="O7" s="14"/>
      <c r="P7" s="14"/>
      <c r="R7" t="s">
        <v>186</v>
      </c>
    </row>
    <row r="8" spans="2:24" ht="39" customHeight="1" x14ac:dyDescent="0.45">
      <c r="B8" s="422" t="s">
        <v>3235</v>
      </c>
      <c r="C8" s="422"/>
      <c r="D8" s="422"/>
      <c r="E8" s="422"/>
      <c r="F8" s="422"/>
      <c r="G8" s="422"/>
      <c r="H8" s="422"/>
      <c r="I8" s="422"/>
      <c r="J8" s="422"/>
      <c r="K8" s="350"/>
      <c r="L8" s="353"/>
      <c r="M8" s="353"/>
      <c r="N8" s="354"/>
      <c r="O8" s="354"/>
      <c r="P8" s="409" t="s">
        <v>3162</v>
      </c>
      <c r="Q8" s="409"/>
      <c r="R8" s="409"/>
      <c r="S8" s="409"/>
    </row>
    <row r="9" spans="2:24" ht="19" customHeight="1" x14ac:dyDescent="0.45">
      <c r="B9" s="412" t="s">
        <v>3238</v>
      </c>
      <c r="C9" s="412"/>
      <c r="D9" s="412"/>
      <c r="E9" s="412"/>
      <c r="F9" s="412"/>
      <c r="G9" s="412"/>
      <c r="H9" s="412"/>
      <c r="I9" s="412"/>
      <c r="J9" s="350"/>
      <c r="K9" s="350"/>
      <c r="L9" s="351"/>
      <c r="M9" s="351"/>
      <c r="N9" s="352"/>
      <c r="O9" s="352"/>
      <c r="P9" s="409"/>
      <c r="Q9" s="409"/>
      <c r="R9" s="409"/>
      <c r="S9" s="409"/>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3183</v>
      </c>
      <c r="Q10" s="405"/>
      <c r="R10" s="405"/>
      <c r="S10" s="405"/>
      <c r="T10" s="263"/>
      <c r="U10" s="263"/>
      <c r="V10" s="263"/>
    </row>
    <row r="11" spans="2:24" s="7" customFormat="1" ht="27" customHeight="1" x14ac:dyDescent="0.25">
      <c r="B11" s="421" t="s">
        <v>37</v>
      </c>
      <c r="C11" s="421"/>
      <c r="D11" s="421"/>
      <c r="E11" s="421"/>
      <c r="F11" s="421"/>
      <c r="G11" s="421"/>
      <c r="H11" s="421"/>
      <c r="I11" s="421"/>
      <c r="J11" s="421"/>
      <c r="K11" s="362"/>
      <c r="L11" s="193">
        <f>SUM(L12:L13)</f>
        <v>1</v>
      </c>
      <c r="M11" s="193"/>
      <c r="N11" s="177">
        <v>100</v>
      </c>
      <c r="O11" s="194" t="s">
        <v>0</v>
      </c>
      <c r="P11" s="406" t="s">
        <v>3197</v>
      </c>
      <c r="Q11" s="406"/>
      <c r="R11" s="406" t="s">
        <v>3066</v>
      </c>
      <c r="S11" s="406"/>
      <c r="T11" s="386"/>
      <c r="U11" s="263"/>
      <c r="V11" s="263"/>
      <c r="W11" s="1"/>
      <c r="X11" s="1"/>
    </row>
    <row r="12" spans="2:24" s="1" customFormat="1" ht="21" x14ac:dyDescent="0.25">
      <c r="B12" s="408" t="s">
        <v>3234</v>
      </c>
      <c r="C12" s="408"/>
      <c r="D12" s="408"/>
      <c r="E12" s="408"/>
      <c r="F12" s="408"/>
      <c r="G12" s="408"/>
      <c r="H12" s="408"/>
      <c r="I12" s="408"/>
      <c r="J12" s="15" t="s">
        <v>3232</v>
      </c>
      <c r="K12" s="15"/>
      <c r="L12" s="16">
        <v>0.5</v>
      </c>
      <c r="M12" s="16"/>
      <c r="N12" s="17">
        <f>IF(L12&lt;&gt;0,Meat*L12,"0,00")</f>
        <v>50</v>
      </c>
      <c r="O12" s="18" t="str">
        <f>IF(N12="","","kg")</f>
        <v>kg</v>
      </c>
      <c r="P12" s="319">
        <v>2.5</v>
      </c>
      <c r="Q12" s="33" t="str">
        <f t="shared" ref="Q12" si="0">IF(P12&lt;&gt;"","EUR","")</f>
        <v>EUR</v>
      </c>
      <c r="R12" s="27">
        <f>IF(P12&lt;&gt;"",ROUND(P12*N12,2),"")</f>
        <v>125</v>
      </c>
      <c r="S12" s="28" t="str">
        <f>IF(Q12&lt;&gt;"","EUR","")</f>
        <v>EUR</v>
      </c>
      <c r="T12" s="263"/>
      <c r="U12" s="263"/>
      <c r="V12" s="263"/>
    </row>
    <row r="13" spans="2:24" s="1" customFormat="1" ht="21" x14ac:dyDescent="0.25">
      <c r="B13" s="408" t="s">
        <v>3237</v>
      </c>
      <c r="C13" s="408"/>
      <c r="D13" s="408"/>
      <c r="E13" s="408"/>
      <c r="F13" s="408"/>
      <c r="G13" s="408"/>
      <c r="H13" s="408"/>
      <c r="I13" s="408"/>
      <c r="J13" s="15" t="s">
        <v>163</v>
      </c>
      <c r="K13" s="15"/>
      <c r="L13" s="16">
        <v>0.5</v>
      </c>
      <c r="M13" s="16"/>
      <c r="N13" s="17">
        <f>IF(L13&lt;&gt;0,Meat*L13,"0,00")</f>
        <v>50</v>
      </c>
      <c r="O13" s="18" t="str">
        <f>IF(N13="","","kg")</f>
        <v>kg</v>
      </c>
      <c r="P13" s="319">
        <v>2</v>
      </c>
      <c r="Q13" s="33" t="str">
        <f t="shared" ref="Q13:Q15" si="1">IF(P13&lt;&gt;"","EUR","")</f>
        <v>EUR</v>
      </c>
      <c r="R13" s="27">
        <f>IF(P13&lt;&gt;"",ROUND(P13*N13,2),"")</f>
        <v>100</v>
      </c>
      <c r="S13" s="28" t="str">
        <f>IF(Q13&lt;&gt;"","EUR","")</f>
        <v>EUR</v>
      </c>
      <c r="T13" s="263"/>
      <c r="U13" s="263"/>
      <c r="V13" s="263"/>
    </row>
    <row r="14" spans="2:24" s="1" customFormat="1" ht="22" thickBot="1" x14ac:dyDescent="0.3">
      <c r="B14" s="415" t="s">
        <v>3053</v>
      </c>
      <c r="C14" s="415"/>
      <c r="D14" s="415"/>
      <c r="E14" s="415"/>
      <c r="F14" s="415"/>
      <c r="G14" s="415"/>
      <c r="H14" s="415"/>
      <c r="I14" s="415"/>
      <c r="J14" s="277"/>
      <c r="K14" s="381" t="s">
        <v>1502</v>
      </c>
      <c r="L14" s="370">
        <v>0.25</v>
      </c>
      <c r="M14" s="380" t="s">
        <v>1532</v>
      </c>
      <c r="N14" s="278">
        <f>Meat*L14</f>
        <v>25</v>
      </c>
      <c r="O14" s="340" t="s">
        <v>0</v>
      </c>
      <c r="P14" s="325">
        <f>IF(L14&lt;&gt;0,'AGAGEL® Emulsion'!L14/'AGAGEL® Emulsion'!G8,0)</f>
        <v>0.72199999999999986</v>
      </c>
      <c r="Q14" s="279" t="str">
        <f t="shared" si="1"/>
        <v>EUR</v>
      </c>
      <c r="R14" s="280">
        <f>Emulsion*P14</f>
        <v>18.049999999999997</v>
      </c>
      <c r="S14" s="281" t="str">
        <f>IF(Q14&lt;&gt;"","EUR","")</f>
        <v>EUR</v>
      </c>
      <c r="T14" s="263"/>
      <c r="U14" s="263"/>
      <c r="V14" s="263"/>
    </row>
    <row r="15" spans="2:24" s="1" customFormat="1" ht="21" customHeight="1" x14ac:dyDescent="0.25">
      <c r="B15" s="416" t="s">
        <v>53</v>
      </c>
      <c r="C15" s="416"/>
      <c r="D15" s="416"/>
      <c r="E15" s="416"/>
      <c r="F15" s="416"/>
      <c r="G15" s="416"/>
      <c r="H15" s="416"/>
      <c r="I15" s="416"/>
      <c r="J15" s="338"/>
      <c r="K15" s="338"/>
      <c r="L15" s="188">
        <v>0.25</v>
      </c>
      <c r="M15" s="339"/>
      <c r="N15" s="26">
        <f>L15*Meat</f>
        <v>25</v>
      </c>
      <c r="O15" s="170" t="str">
        <f>IF(N15&lt;&gt;"","kg","")</f>
        <v>kg</v>
      </c>
      <c r="P15" s="322">
        <v>0.01</v>
      </c>
      <c r="Q15" s="32" t="str">
        <f t="shared" si="1"/>
        <v>EUR</v>
      </c>
      <c r="R15" s="29">
        <f>IF(P15&lt;&gt;"",ROUND(P15*N15,2),"")</f>
        <v>0.25</v>
      </c>
      <c r="S15" s="31" t="str">
        <f t="shared" ref="S15" si="2">IF(Q15&lt;&gt;"","EUR","")</f>
        <v>EUR</v>
      </c>
      <c r="T15" s="263"/>
      <c r="U15" s="387"/>
      <c r="V15" s="263"/>
    </row>
    <row r="16" spans="2:24" s="1" customFormat="1" ht="21" customHeight="1" x14ac:dyDescent="0.25">
      <c r="B16" s="418" t="s">
        <v>85</v>
      </c>
      <c r="C16" s="418"/>
      <c r="D16" s="418"/>
      <c r="E16" s="418"/>
      <c r="F16" s="418"/>
      <c r="G16" s="418"/>
      <c r="H16" s="418"/>
      <c r="I16" s="418"/>
      <c r="J16" s="19" t="s">
        <v>179</v>
      </c>
      <c r="K16" s="19"/>
      <c r="L16" s="276">
        <f>N16/Meat</f>
        <v>0.06</v>
      </c>
      <c r="M16" s="276"/>
      <c r="N16" s="313">
        <f>FibreMaxx*8</f>
        <v>6</v>
      </c>
      <c r="O16" s="382" t="str">
        <f>IF(N16&lt;&gt;"","kg","")</f>
        <v>kg</v>
      </c>
      <c r="P16" s="319">
        <v>0.01</v>
      </c>
      <c r="Q16" s="33" t="str">
        <f t="shared" ref="Q16" si="3">IF(P16&lt;&gt;"","EUR","")</f>
        <v>EUR</v>
      </c>
      <c r="R16" s="27">
        <f>IF(P16&lt;&gt;"",ROUND(P16*N16,2),"")</f>
        <v>0.06</v>
      </c>
      <c r="S16" s="28" t="str">
        <f t="shared" ref="S16" si="4">IF(Q16&lt;&gt;"","EUR","")</f>
        <v>EUR</v>
      </c>
      <c r="T16" s="403"/>
      <c r="U16" s="403"/>
      <c r="V16" s="263"/>
    </row>
    <row r="17" spans="2:24" s="7" customFormat="1" ht="25" customHeight="1" x14ac:dyDescent="0.25">
      <c r="B17" s="417" t="s">
        <v>92</v>
      </c>
      <c r="C17" s="417"/>
      <c r="D17" s="417"/>
      <c r="E17" s="417"/>
      <c r="F17" s="417"/>
      <c r="G17" s="417"/>
      <c r="H17" s="417"/>
      <c r="I17" s="417"/>
      <c r="J17" s="417"/>
      <c r="K17" s="24"/>
      <c r="L17" s="20">
        <f>MeatAndWater/Meat</f>
        <v>1.56</v>
      </c>
      <c r="M17" s="20"/>
      <c r="N17" s="21">
        <f>SUM(Meat,N14:N16)</f>
        <v>156</v>
      </c>
      <c r="O17" s="24" t="s">
        <v>0</v>
      </c>
      <c r="P17" s="321" t="str">
        <f>"ø "&amp;ROUND(R17/MeatAndWater,3)</f>
        <v>ø 1,56</v>
      </c>
      <c r="Q17" s="162" t="str">
        <f>IF(P17&lt;&gt;0,"EUR","")</f>
        <v>EUR</v>
      </c>
      <c r="R17" s="163">
        <f>SUM(R12:R16)</f>
        <v>243.36</v>
      </c>
      <c r="S17" s="162" t="str">
        <f>IF(R17&lt;&gt;0,"EUR","")</f>
        <v>EUR</v>
      </c>
      <c r="T17" s="403"/>
      <c r="U17" s="403"/>
      <c r="V17" s="263"/>
      <c r="W17" s="1"/>
      <c r="X17" s="1"/>
    </row>
    <row r="18" spans="2:24" s="30" customFormat="1" ht="26" customHeight="1" x14ac:dyDescent="0.25">
      <c r="B18" s="22" t="s">
        <v>35</v>
      </c>
      <c r="C18" s="22"/>
      <c r="D18" s="23" t="s">
        <v>45</v>
      </c>
      <c r="E18" s="414" t="s">
        <v>3171</v>
      </c>
      <c r="F18" s="414"/>
      <c r="G18" s="414"/>
      <c r="H18" s="414"/>
      <c r="I18" s="414"/>
      <c r="J18" s="414"/>
      <c r="K18" s="361"/>
      <c r="L18" s="413" t="s">
        <v>93</v>
      </c>
      <c r="M18" s="413"/>
      <c r="N18" s="413"/>
      <c r="O18" s="413"/>
      <c r="P18" s="398" t="s">
        <v>3196</v>
      </c>
      <c r="Q18" s="398"/>
      <c r="R18" s="398" t="s">
        <v>3066</v>
      </c>
      <c r="S18" s="398"/>
      <c r="T18" s="395" t="s">
        <v>3181</v>
      </c>
      <c r="U18" s="395"/>
      <c r="V18" s="341"/>
      <c r="W18" s="1"/>
    </row>
    <row r="19" spans="2:24" ht="21" customHeight="1" x14ac:dyDescent="0.25">
      <c r="B19" s="396">
        <v>55008</v>
      </c>
      <c r="C19" s="396"/>
      <c r="D19" s="178" t="str">
        <f>IF(ISNA(VLOOKUP(B19,AllData,2,0)),"",HYPERLINK(VLOOKUP(B19,AllData,7,0),"📌"))</f>
        <v>📌</v>
      </c>
      <c r="E19" s="402" t="str">
        <f t="shared" ref="E19:E27" si="5">IF(ISNA(VLOOKUP(B19,AllData,2,0)),"",VLOOKUP(B19,AllData,2,0))</f>
        <v>Frankfurter Classic</v>
      </c>
      <c r="F19" s="402"/>
      <c r="G19" s="402"/>
      <c r="H19" s="402"/>
      <c r="I19" s="402"/>
      <c r="J19" s="187"/>
      <c r="K19" s="187"/>
      <c r="L19" s="188">
        <v>5.0000000000000001E-3</v>
      </c>
      <c r="M19" s="188"/>
      <c r="N19" s="38">
        <f t="shared" ref="N19:N20" si="6">IF(L19&lt;&gt;"",ROUND(L19*MeatAndWater,2),0)</f>
        <v>0.78</v>
      </c>
      <c r="O19" s="179" t="str">
        <f t="shared" ref="O19" si="7">IF(N19&lt;&gt;"","kg","")</f>
        <v>kg</v>
      </c>
      <c r="P19" s="320">
        <f t="shared" ref="P19:P27" si="8">IF(ISNA(VLOOKUP(B19,AllData,2,0)),"",VLOOKUP(B19,AllData,4,0))</f>
        <v>12.1</v>
      </c>
      <c r="Q19" s="33" t="str">
        <f t="shared" ref="Q19:Q27" si="9">IF(P19&lt;&gt;"","EUR","")</f>
        <v>EUR</v>
      </c>
      <c r="R19" s="27">
        <f t="shared" ref="R19:R27" si="10">IF(P19&lt;&gt;"",ROUND(P19*N19,2),"")</f>
        <v>9.44</v>
      </c>
      <c r="S19" s="28" t="str">
        <f t="shared" ref="S19:S27" si="11">IF(Q19&lt;&gt;"","EUR","")</f>
        <v>EUR</v>
      </c>
      <c r="T19" s="341"/>
      <c r="U19" s="342">
        <f t="shared" ref="U19:U27" si="12">N19*VLOOKUP(B19,AllData,3)</f>
        <v>3.9468000000000003E-2</v>
      </c>
      <c r="V19" s="165" t="s">
        <v>0</v>
      </c>
      <c r="W19" s="1"/>
    </row>
    <row r="20" spans="2:24" ht="21" x14ac:dyDescent="0.25">
      <c r="B20" s="396">
        <v>11022</v>
      </c>
      <c r="C20" s="396"/>
      <c r="D20" s="178" t="str">
        <f t="shared" ref="D20:D26" si="13">IF(ISNA(VLOOKUP(B20,AllData,2,0)),"",HYPERLINK(VLOOKUP(B20,AllData,7,0),"📌"))</f>
        <v>📌</v>
      </c>
      <c r="E20" s="402" t="str">
        <f t="shared" si="5"/>
        <v>AGAGEL® 220</v>
      </c>
      <c r="F20" s="402"/>
      <c r="G20" s="402"/>
      <c r="H20" s="402"/>
      <c r="I20" s="402"/>
      <c r="J20" s="187"/>
      <c r="K20" s="187"/>
      <c r="L20" s="188">
        <v>5.0000000000000001E-3</v>
      </c>
      <c r="M20" s="188"/>
      <c r="N20" s="38">
        <f t="shared" si="6"/>
        <v>0.78</v>
      </c>
      <c r="O20" s="179" t="str">
        <f>IF(N20&lt;&gt;"","kg","")</f>
        <v>kg</v>
      </c>
      <c r="P20" s="320">
        <f t="shared" si="8"/>
        <v>10.5</v>
      </c>
      <c r="Q20" s="33" t="str">
        <f t="shared" si="9"/>
        <v>EUR</v>
      </c>
      <c r="R20" s="27">
        <f t="shared" si="10"/>
        <v>8.19</v>
      </c>
      <c r="S20" s="28" t="str">
        <f>IF(Q20&lt;&gt;"","EUR","")</f>
        <v>EUR</v>
      </c>
      <c r="T20" s="341"/>
      <c r="U20" s="342">
        <f t="shared" si="12"/>
        <v>0</v>
      </c>
      <c r="V20" s="165" t="s">
        <v>0</v>
      </c>
    </row>
    <row r="21" spans="2:24" ht="21" x14ac:dyDescent="0.25">
      <c r="B21" s="396">
        <v>50012</v>
      </c>
      <c r="C21" s="396"/>
      <c r="D21" s="178" t="str">
        <f t="shared" ref="D21" si="14">IF(ISNA(VLOOKUP(B21,AllData,2,0)),"",HYPERLINK(VLOOKUP(B21,AllData,7,0),"📌"))</f>
        <v>📌</v>
      </c>
      <c r="E21" s="402" t="str">
        <f t="shared" ref="E21" si="15">IF(ISNA(VLOOKUP(B21,AllData,2,0)),"",VLOOKUP(B21,AllData,2,0))</f>
        <v>Meister KutMaxx Pro</v>
      </c>
      <c r="F21" s="402"/>
      <c r="G21" s="402"/>
      <c r="H21" s="402"/>
      <c r="I21" s="402"/>
      <c r="J21" s="187"/>
      <c r="K21" s="187"/>
      <c r="L21" s="188">
        <v>2E-3</v>
      </c>
      <c r="M21" s="188"/>
      <c r="N21" s="38">
        <f t="shared" ref="N21" si="16">IF(L21&lt;&gt;"",ROUND(L21*MeatAndWater,2),0)</f>
        <v>0.31</v>
      </c>
      <c r="O21" s="179" t="str">
        <f>IF(N21&lt;&gt;"","kg","")</f>
        <v>kg</v>
      </c>
      <c r="P21" s="320">
        <f t="shared" ref="P21" si="17">IF(ISNA(VLOOKUP(B21,AllData,2,0)),"",VLOOKUP(B21,AllData,4,0))</f>
        <v>9.9</v>
      </c>
      <c r="Q21" s="33" t="str">
        <f t="shared" ref="Q21" si="18">IF(P21&lt;&gt;"","EUR","")</f>
        <v>EUR</v>
      </c>
      <c r="R21" s="27">
        <f t="shared" ref="R21" si="19">IF(P21&lt;&gt;"",ROUND(P21*N21,2),"")</f>
        <v>3.07</v>
      </c>
      <c r="S21" s="28" t="str">
        <f>IF(Q21&lt;&gt;"","EUR","")</f>
        <v>EUR</v>
      </c>
      <c r="T21" s="341"/>
      <c r="U21" s="342">
        <f t="shared" ref="U21" si="20">N21*VLOOKUP(B21,AllData,3)</f>
        <v>4.1911999999999998E-2</v>
      </c>
      <c r="V21" s="165" t="s">
        <v>0</v>
      </c>
    </row>
    <row r="22" spans="2:24" ht="21" x14ac:dyDescent="0.25">
      <c r="B22" s="401">
        <v>11049</v>
      </c>
      <c r="C22" s="401"/>
      <c r="D22" s="343" t="str">
        <f t="shared" si="13"/>
        <v>📌</v>
      </c>
      <c r="E22" s="400" t="str">
        <f>IF(ISNA(VLOOKUP(B22,AllData,2,0)),"",VLOOKUP(B22,AllData,2,0))</f>
        <v>Curing Salt [Nitrite pickling salt]</v>
      </c>
      <c r="F22" s="400"/>
      <c r="G22" s="400"/>
      <c r="H22" s="400"/>
      <c r="I22" s="400"/>
      <c r="J22" s="344"/>
      <c r="K22" s="344"/>
      <c r="L22" s="355">
        <f>N22/MeatAndWater</f>
        <v>1.7756410256410258E-2</v>
      </c>
      <c r="M22" s="355"/>
      <c r="N22" s="345">
        <f>ROUND(SUM(MeatAndWater,N19:N20,N23:N27)*1.8%-SUM(U19:U27),2)</f>
        <v>2.77</v>
      </c>
      <c r="O22" s="356" t="str">
        <f>IF(N22&lt;&gt;"","kg","")</f>
        <v>kg</v>
      </c>
      <c r="P22" s="346">
        <f>IF(ISNA(VLOOKUP(B22,AllData,2,0)),"",VLOOKUP(B22,AllData,4,0))</f>
        <v>0.7</v>
      </c>
      <c r="Q22" s="347" t="str">
        <f t="shared" ref="Q22:Q24" si="21">IF(P22&lt;&gt;"","EUR","")</f>
        <v>EUR</v>
      </c>
      <c r="R22" s="348">
        <f t="shared" ref="R22:R24" si="22">IF(P22&lt;&gt;"",ROUND(P22*N22,2),"")</f>
        <v>1.94</v>
      </c>
      <c r="S22" s="349" t="str">
        <f t="shared" ref="S22:S24" si="23">IF(Q22&lt;&gt;"","EUR","")</f>
        <v>EUR</v>
      </c>
      <c r="T22" s="341"/>
      <c r="U22" s="342"/>
    </row>
    <row r="23" spans="2:24" ht="21" x14ac:dyDescent="0.25">
      <c r="B23" s="411">
        <v>11055</v>
      </c>
      <c r="C23" s="411"/>
      <c r="D23" s="364" t="str">
        <f>IF(ISNA(VLOOKUP(B23,AllData,2,0)),"",HYPERLINK(VLOOKUP(B23,AllData,7,0),"📌"))</f>
        <v>📌</v>
      </c>
      <c r="E23" s="410" t="str">
        <f>IF(ISNA(VLOOKUP(B23,AllData,2,0)),"",VLOOKUP(B23,AllData,2,0))</f>
        <v>FibreMaxx WF 200</v>
      </c>
      <c r="F23" s="410"/>
      <c r="G23" s="410"/>
      <c r="H23" s="410"/>
      <c r="I23" s="410"/>
      <c r="J23" s="383" t="s">
        <v>3226</v>
      </c>
      <c r="K23" s="375" t="s">
        <v>1502</v>
      </c>
      <c r="L23" s="365" t="s">
        <v>3188</v>
      </c>
      <c r="M23" s="376" t="s">
        <v>1532</v>
      </c>
      <c r="N23" s="384">
        <f>ROUND(IF(L23="zero",SUM(Meat,Water,Emulsion)*0%,IF(L23="low",SUM(Meat,Water,Emulsion)*0.5%,IF(L23="medium",SUM(Meat,Water,Emulsion)*0.75%,SUM(Meat,Water,Emulsion)*1%))),2)</f>
        <v>0.75</v>
      </c>
      <c r="O23" s="385" t="str">
        <f>IF(N23&lt;&gt;"","kg","")</f>
        <v>kg</v>
      </c>
      <c r="P23" s="366">
        <f>IF(ISNA(VLOOKUP(B23,AllData,2,0)),"",VLOOKUP(B23,AllData,4,0))</f>
        <v>2.8</v>
      </c>
      <c r="Q23" s="367" t="str">
        <f>IF(P23&lt;&gt;"","EUR","")</f>
        <v>EUR</v>
      </c>
      <c r="R23" s="368">
        <f>IF(P23&lt;&gt;"",ROUND(P23*N23,2),"")</f>
        <v>2.1</v>
      </c>
      <c r="S23" s="369" t="str">
        <f>IF(Q23&lt;&gt;"","EUR","")</f>
        <v>EUR</v>
      </c>
      <c r="T23" s="341"/>
      <c r="U23" s="342">
        <f>N23*VLOOKUP(B23,AllData,3)</f>
        <v>0</v>
      </c>
      <c r="V23" s="165" t="s">
        <v>0</v>
      </c>
    </row>
    <row r="24" spans="2:24" ht="21" x14ac:dyDescent="0.25">
      <c r="B24" s="396">
        <v>51008</v>
      </c>
      <c r="C24" s="396"/>
      <c r="D24" s="178" t="str">
        <f t="shared" ref="D24" si="24">IF(ISNA(VLOOKUP(B24,AllData,2,0)),"",HYPERLINK(VLOOKUP(B24,AllData,7,0),"📌"))</f>
        <v>📌</v>
      </c>
      <c r="E24" s="402" t="str">
        <f t="shared" ref="E24" si="25">IF(ISNA(VLOOKUP(B24,AllData,2,0)),"",VLOOKUP(B24,AllData,2,0))</f>
        <v>BouillonMaxx Chicken [MSG-free]</v>
      </c>
      <c r="F24" s="402"/>
      <c r="G24" s="402"/>
      <c r="H24" s="402"/>
      <c r="I24" s="402"/>
      <c r="J24" s="187" t="s">
        <v>3231</v>
      </c>
      <c r="K24" s="374" t="s">
        <v>1502</v>
      </c>
      <c r="L24" s="312" t="s">
        <v>3179</v>
      </c>
      <c r="M24" s="377" t="s">
        <v>1532</v>
      </c>
      <c r="N24" s="38">
        <f>IF(L24="use",ROUND(0.5%*MeatAndWater,2),0)</f>
        <v>0</v>
      </c>
      <c r="O24" s="179" t="str">
        <f t="shared" ref="O24" si="26">IF(N24&lt;&gt;"","kg","")</f>
        <v>kg</v>
      </c>
      <c r="P24" s="320">
        <f t="shared" ref="P24" si="27">IF(ISNA(VLOOKUP(B24,AllData,2,0)),"",VLOOKUP(B24,AllData,4,0))</f>
        <v>8.9</v>
      </c>
      <c r="Q24" s="33" t="str">
        <f t="shared" si="21"/>
        <v>EUR</v>
      </c>
      <c r="R24" s="27">
        <f t="shared" si="22"/>
        <v>0</v>
      </c>
      <c r="S24" s="28" t="str">
        <f t="shared" si="23"/>
        <v>EUR</v>
      </c>
      <c r="T24" s="341"/>
      <c r="U24" s="342">
        <f t="shared" ref="U24" si="28">N24*VLOOKUP(B24,AllData,3)</f>
        <v>0</v>
      </c>
      <c r="V24" s="165" t="s">
        <v>0</v>
      </c>
    </row>
    <row r="25" spans="2:24" ht="21" x14ac:dyDescent="0.25">
      <c r="B25" s="396">
        <v>58043</v>
      </c>
      <c r="C25" s="396"/>
      <c r="D25" s="178" t="str">
        <f t="shared" ref="D25" si="29">IF(ISNA(VLOOKUP(B25,AllData,2,0)),"",HYPERLINK(VLOOKUP(B25,AllData,7,0),"📌"))</f>
        <v>📌</v>
      </c>
      <c r="E25" s="402" t="str">
        <f t="shared" ref="E25" si="30">IF(ISNA(VLOOKUP(B25,AllData,2,0)),"",VLOOKUP(B25,AllData,2,0))</f>
        <v>Paprika 3,000 [liquid]</v>
      </c>
      <c r="F25" s="402"/>
      <c r="G25" s="402"/>
      <c r="H25" s="402"/>
      <c r="I25" s="402"/>
      <c r="J25" s="187" t="s">
        <v>3231</v>
      </c>
      <c r="K25" s="374" t="s">
        <v>1502</v>
      </c>
      <c r="L25" s="312" t="s">
        <v>3179</v>
      </c>
      <c r="M25" s="377" t="s">
        <v>1532</v>
      </c>
      <c r="N25" s="38">
        <f>IF(L25="use",ROUND(0.2%*MeatAndWater,2),0)</f>
        <v>0</v>
      </c>
      <c r="O25" s="179" t="str">
        <f t="shared" ref="O25" si="31">IF(N25&lt;&gt;"","kg","")</f>
        <v>kg</v>
      </c>
      <c r="P25" s="320">
        <f t="shared" ref="P25" si="32">IF(ISNA(VLOOKUP(B25,AllData,2,0)),"",VLOOKUP(B25,AllData,4,0))</f>
        <v>11.4</v>
      </c>
      <c r="Q25" s="33" t="str">
        <f t="shared" ref="Q25" si="33">IF(P25&lt;&gt;"","EUR","")</f>
        <v>EUR</v>
      </c>
      <c r="R25" s="27">
        <f t="shared" ref="R25" si="34">IF(P25&lt;&gt;"",ROUND(P25*N25,2),"")</f>
        <v>0</v>
      </c>
      <c r="S25" s="28" t="str">
        <f t="shared" ref="S25" si="35">IF(Q25&lt;&gt;"","EUR","")</f>
        <v>EUR</v>
      </c>
      <c r="T25" s="341"/>
      <c r="U25" s="342">
        <f t="shared" ref="U25" si="36">N25*VLOOKUP(B25,AllData,3)</f>
        <v>0</v>
      </c>
      <c r="V25" s="165" t="s">
        <v>0</v>
      </c>
    </row>
    <row r="26" spans="2:24" ht="21" x14ac:dyDescent="0.25">
      <c r="B26" s="396">
        <v>58002</v>
      </c>
      <c r="C26" s="396"/>
      <c r="D26" s="178" t="str">
        <f t="shared" si="13"/>
        <v>📌</v>
      </c>
      <c r="E26" s="402" t="str">
        <f t="shared" si="5"/>
        <v>Garlic Extra [liquid]</v>
      </c>
      <c r="F26" s="402"/>
      <c r="G26" s="402"/>
      <c r="H26" s="402"/>
      <c r="I26" s="402"/>
      <c r="J26" s="187" t="s">
        <v>3231</v>
      </c>
      <c r="K26" s="374" t="s">
        <v>1502</v>
      </c>
      <c r="L26" s="312" t="s">
        <v>3179</v>
      </c>
      <c r="M26" s="377" t="s">
        <v>1532</v>
      </c>
      <c r="N26" s="38">
        <f>IF(L26="use",ROUND(0.1%*MeatAndWater,2),0)</f>
        <v>0</v>
      </c>
      <c r="O26" s="179" t="str">
        <f t="shared" ref="O26" si="37">IF(N26&lt;&gt;"","kg","")</f>
        <v>kg</v>
      </c>
      <c r="P26" s="320">
        <f t="shared" si="8"/>
        <v>8.3000000000000007</v>
      </c>
      <c r="Q26" s="33" t="str">
        <f t="shared" si="9"/>
        <v>EUR</v>
      </c>
      <c r="R26" s="27">
        <f t="shared" si="10"/>
        <v>0</v>
      </c>
      <c r="S26" s="28" t="str">
        <f t="shared" si="11"/>
        <v>EUR</v>
      </c>
      <c r="T26" s="388"/>
      <c r="U26" s="342">
        <f t="shared" si="12"/>
        <v>0</v>
      </c>
      <c r="V26" s="165" t="s">
        <v>0</v>
      </c>
    </row>
    <row r="27" spans="2:24" ht="21" x14ac:dyDescent="0.25">
      <c r="B27" s="401">
        <v>11146</v>
      </c>
      <c r="C27" s="401"/>
      <c r="D27" s="343" t="str">
        <f t="shared" ref="D27" si="38">IF(ISNA(VLOOKUP(B27,AllData,2,0)),"",HYPERLINK(VLOOKUP(B27,AllData,7,0),"📌"))</f>
        <v>📌</v>
      </c>
      <c r="E27" s="400" t="str">
        <f t="shared" si="5"/>
        <v>RoMaxx MB liquid</v>
      </c>
      <c r="F27" s="400"/>
      <c r="G27" s="400"/>
      <c r="H27" s="400"/>
      <c r="I27" s="400"/>
      <c r="J27" s="371" t="s">
        <v>3227</v>
      </c>
      <c r="K27" s="378" t="s">
        <v>1502</v>
      </c>
      <c r="L27" s="372" t="s">
        <v>3179</v>
      </c>
      <c r="M27" s="379" t="s">
        <v>1532</v>
      </c>
      <c r="N27" s="373">
        <f>IF(L27="use",ROUND(0.2%*MeatAndWater,2),0)</f>
        <v>0</v>
      </c>
      <c r="O27" s="179" t="str">
        <f>IF(N27&lt;&gt;"","kg","")</f>
        <v>kg</v>
      </c>
      <c r="P27" s="320">
        <f t="shared" si="8"/>
        <v>9.9</v>
      </c>
      <c r="Q27" s="347" t="str">
        <f t="shared" si="9"/>
        <v>EUR</v>
      </c>
      <c r="R27" s="27">
        <f t="shared" si="10"/>
        <v>0</v>
      </c>
      <c r="S27" s="28" t="str">
        <f t="shared" si="11"/>
        <v>EUR</v>
      </c>
      <c r="T27" s="341"/>
      <c r="U27" s="342">
        <f t="shared" si="12"/>
        <v>0</v>
      </c>
      <c r="V27" s="165" t="s">
        <v>0</v>
      </c>
    </row>
    <row r="28" spans="2:24" ht="22" thickBot="1" x14ac:dyDescent="0.3">
      <c r="B28" s="396" t="s">
        <v>36</v>
      </c>
      <c r="C28" s="396"/>
      <c r="D28" s="396"/>
      <c r="E28" s="396"/>
      <c r="F28" s="396"/>
      <c r="G28" s="396"/>
      <c r="H28" s="396"/>
      <c r="I28" s="396"/>
      <c r="J28" s="396"/>
      <c r="K28" s="360"/>
      <c r="L28" s="189">
        <f>SUM(ingredientsWeight)/MeatAndWater</f>
        <v>3.4551282051282058E-2</v>
      </c>
      <c r="M28" s="189"/>
      <c r="N28" s="38">
        <f>SUM(ingredientsWeight)</f>
        <v>5.3900000000000006</v>
      </c>
      <c r="O28" s="357" t="s">
        <v>0</v>
      </c>
      <c r="P28" s="358" t="str">
        <f>"ø "&amp;ROUND(R28/N28,3)</f>
        <v>ø 4,59</v>
      </c>
      <c r="Q28" s="190" t="str">
        <f>Q19</f>
        <v>EUR</v>
      </c>
      <c r="R28" s="191">
        <f>SUM(R19:R27)</f>
        <v>24.740000000000002</v>
      </c>
      <c r="S28" s="192" t="str">
        <f>S19</f>
        <v>EUR</v>
      </c>
      <c r="T28" s="342" t="s">
        <v>3177</v>
      </c>
      <c r="U28" s="342">
        <f>SUM(U19:U27,Salt)</f>
        <v>2.8513799999999998</v>
      </c>
      <c r="V28" s="165" t="s">
        <v>0</v>
      </c>
    </row>
    <row r="29" spans="2:24" ht="35" customHeight="1" thickBot="1" x14ac:dyDescent="0.3">
      <c r="B29" s="399" t="s">
        <v>3073</v>
      </c>
      <c r="C29" s="399"/>
      <c r="D29" s="399"/>
      <c r="E29" s="399"/>
      <c r="F29" s="399"/>
      <c r="G29" s="399"/>
      <c r="H29" s="399"/>
      <c r="I29" s="399"/>
      <c r="J29" s="399"/>
      <c r="K29" s="363"/>
      <c r="L29" s="397">
        <f>ROUND(MeatAndWater+N28,2)</f>
        <v>161.38999999999999</v>
      </c>
      <c r="M29" s="397"/>
      <c r="N29" s="397"/>
      <c r="O29" s="180" t="s">
        <v>0</v>
      </c>
      <c r="P29" s="334">
        <f>R29/L29</f>
        <v>1.6611933824896217</v>
      </c>
      <c r="Q29" s="307" t="str">
        <f>"€ / kg"</f>
        <v>€ / kg</v>
      </c>
      <c r="R29" s="308">
        <f>SUM(R17,R28)</f>
        <v>268.10000000000002</v>
      </c>
      <c r="S29" s="309" t="str">
        <f>S19</f>
        <v>EUR</v>
      </c>
      <c r="T29" s="342" t="s">
        <v>3180</v>
      </c>
      <c r="U29" s="342">
        <f>U28/TotalWeight</f>
        <v>1.7667637400086748E-2</v>
      </c>
    </row>
    <row r="30" spans="2:24" ht="10" customHeight="1" x14ac:dyDescent="0.2">
      <c r="B30" s="167"/>
      <c r="C30" s="167"/>
      <c r="D30" s="167"/>
      <c r="E30" s="167"/>
      <c r="F30" s="167"/>
      <c r="G30" s="167"/>
      <c r="H30" s="167"/>
      <c r="I30" s="167"/>
      <c r="J30" s="167"/>
      <c r="K30" s="167"/>
      <c r="L30" s="168"/>
      <c r="M30" s="168"/>
      <c r="N30" s="168"/>
      <c r="O30" s="169"/>
      <c r="P30" s="175"/>
      <c r="Q30" s="176"/>
      <c r="R30" s="175"/>
      <c r="S30" s="176"/>
      <c r="T30" s="389"/>
      <c r="U30" s="337"/>
      <c r="V30" s="337"/>
    </row>
    <row r="31" spans="2:24" s="30" customFormat="1" ht="26" customHeight="1" x14ac:dyDescent="0.25">
      <c r="B31" s="209" t="s">
        <v>35</v>
      </c>
      <c r="C31" s="209"/>
      <c r="D31" s="210" t="s">
        <v>45</v>
      </c>
      <c r="E31" s="423" t="s">
        <v>3175</v>
      </c>
      <c r="F31" s="423"/>
      <c r="G31" s="423"/>
      <c r="H31" s="423"/>
      <c r="I31" s="423"/>
      <c r="J31" s="423"/>
      <c r="K31" s="359"/>
      <c r="L31" s="310"/>
      <c r="M31" s="310"/>
      <c r="N31" s="310"/>
      <c r="O31" s="310"/>
      <c r="P31" s="394" t="s">
        <v>3195</v>
      </c>
      <c r="Q31" s="394"/>
      <c r="R31" s="394"/>
      <c r="S31" s="394"/>
      <c r="T31" s="336"/>
      <c r="U31" s="263"/>
      <c r="V31" s="263"/>
      <c r="W31" s="1"/>
    </row>
    <row r="32" spans="2:24" ht="21" customHeight="1" x14ac:dyDescent="0.2">
      <c r="B32" s="396">
        <v>64000</v>
      </c>
      <c r="C32" s="396"/>
      <c r="D32" s="178" t="str">
        <f t="shared" ref="D32" si="39">IF(ISNA(VLOOKUP(B32,AllData,2,0)),"",HYPERLINK(VLOOKUP(B32,AllData,7,0),"📌"))</f>
        <v>📌</v>
      </c>
      <c r="E32" s="424" t="s">
        <v>3230</v>
      </c>
      <c r="F32" s="424"/>
      <c r="G32" s="424"/>
      <c r="H32" s="424"/>
      <c r="I32" s="424"/>
      <c r="J32" s="425" t="s">
        <v>3067</v>
      </c>
      <c r="K32" s="425"/>
      <c r="L32" s="425"/>
      <c r="M32" s="425"/>
      <c r="N32" s="425" t="str">
        <f>IF(L32&lt;&gt;"",ROUND(L32*MeatAndWater,2),"")</f>
        <v/>
      </c>
      <c r="O32" s="425" t="str">
        <f>IF(N32&lt;&gt;"","kg","")</f>
        <v/>
      </c>
      <c r="P32" s="456" t="s">
        <v>3176</v>
      </c>
      <c r="Q32" s="456"/>
      <c r="R32" s="456"/>
      <c r="S32" s="456"/>
      <c r="T32" s="336"/>
    </row>
    <row r="33" spans="2:22" ht="21" customHeight="1" x14ac:dyDescent="0.2">
      <c r="B33" s="457">
        <v>88081</v>
      </c>
      <c r="C33" s="457"/>
      <c r="D33" s="326" t="str">
        <f t="shared" ref="D33:D34" si="40">IF(ISNA(VLOOKUP(B33,AllData,2,0)),"",HYPERLINK(VLOOKUP(B33,AllData,7,0),"📌"))</f>
        <v>📌</v>
      </c>
      <c r="E33" s="426" t="str">
        <f t="shared" ref="E33:E38" si="41">IF(ISNA(VLOOKUP(B33,AllData,2,0)),"",VLOOKUP(B33,AllData,2,0))</f>
        <v>Meat Mincer TGR-103 COOL by Delitech</v>
      </c>
      <c r="F33" s="426"/>
      <c r="G33" s="426"/>
      <c r="H33" s="426"/>
      <c r="I33" s="426"/>
      <c r="J33" s="427" t="s">
        <v>3191</v>
      </c>
      <c r="K33" s="427"/>
      <c r="L33" s="427"/>
      <c r="M33" s="427"/>
      <c r="N33" s="427"/>
      <c r="O33" s="427"/>
      <c r="P33" s="456"/>
      <c r="Q33" s="456"/>
      <c r="R33" s="456"/>
      <c r="S33" s="456"/>
      <c r="T33" s="336"/>
      <c r="U33" s="336"/>
    </row>
    <row r="34" spans="2:22" ht="21" customHeight="1" x14ac:dyDescent="0.2">
      <c r="B34" s="396">
        <v>89039</v>
      </c>
      <c r="C34" s="396"/>
      <c r="D34" s="182" t="str">
        <f t="shared" si="40"/>
        <v>📌</v>
      </c>
      <c r="E34" s="402" t="str">
        <f t="shared" si="41"/>
        <v>Bowl Cutter BC 410 by Delitech [40 ltr]</v>
      </c>
      <c r="F34" s="402"/>
      <c r="G34" s="402"/>
      <c r="H34" s="402"/>
      <c r="I34" s="402"/>
      <c r="J34" s="419" t="s">
        <v>3192</v>
      </c>
      <c r="K34" s="419"/>
      <c r="L34" s="419"/>
      <c r="M34" s="419"/>
      <c r="N34" s="419"/>
      <c r="O34" s="419"/>
      <c r="P34" s="456"/>
      <c r="Q34" s="456"/>
      <c r="R34" s="456"/>
      <c r="S34" s="456"/>
      <c r="T34" s="336"/>
      <c r="U34" s="336"/>
    </row>
    <row r="35" spans="2:22" ht="21" customHeight="1" x14ac:dyDescent="0.2">
      <c r="B35" s="396">
        <v>89091</v>
      </c>
      <c r="C35" s="396"/>
      <c r="D35" s="182" t="str">
        <f t="shared" ref="D35" si="42">IF(ISNA(VLOOKUP(B35,AllData,2,0)),"",HYPERLINK(VLOOKUP(B35,AllData,7,0),"📌"))</f>
        <v>📌</v>
      </c>
      <c r="E35" s="402" t="str">
        <f t="shared" ref="E35" si="43">IF(ISNA(VLOOKUP(B35,AllData,2,0)),"",VLOOKUP(B35,AllData,2,0))</f>
        <v>Clip Star 200 [manual]</v>
      </c>
      <c r="F35" s="402"/>
      <c r="G35" s="402"/>
      <c r="H35" s="402"/>
      <c r="I35" s="402"/>
      <c r="J35" s="419" t="s">
        <v>3228</v>
      </c>
      <c r="K35" s="419"/>
      <c r="L35" s="419"/>
      <c r="M35" s="419"/>
      <c r="N35" s="419"/>
      <c r="O35" s="419"/>
      <c r="P35" s="456"/>
      <c r="Q35" s="456"/>
      <c r="R35" s="456"/>
      <c r="S35" s="456"/>
      <c r="T35" s="336"/>
      <c r="U35" s="336"/>
    </row>
    <row r="36" spans="2:22" ht="21" customHeight="1" x14ac:dyDescent="0.2">
      <c r="B36" s="396">
        <v>89075</v>
      </c>
      <c r="C36" s="396"/>
      <c r="D36" s="182" t="str">
        <f t="shared" ref="D36" si="44">IF(ISNA(VLOOKUP(B36,AllData,2,0)),"",HYPERLINK(VLOOKUP(B36,AllData,7,0),"📌"))</f>
        <v>📌</v>
      </c>
      <c r="E36" s="402" t="str">
        <f t="shared" ref="E36" si="45">IF(ISNA(VLOOKUP(B36,AllData,2,0)),"",VLOOKUP(B36,AllData,2,0))</f>
        <v>Schälomat DK.02.HM</v>
      </c>
      <c r="F36" s="402"/>
      <c r="G36" s="402"/>
      <c r="H36" s="402"/>
      <c r="I36" s="402"/>
      <c r="J36" s="419" t="s">
        <v>3229</v>
      </c>
      <c r="K36" s="419"/>
      <c r="L36" s="419"/>
      <c r="M36" s="419"/>
      <c r="N36" s="419"/>
      <c r="O36" s="419"/>
      <c r="P36" s="456"/>
      <c r="Q36" s="456"/>
      <c r="R36" s="456"/>
      <c r="S36" s="456"/>
      <c r="T36" s="336"/>
      <c r="U36" s="336"/>
    </row>
    <row r="37" spans="2:22" ht="21" customHeight="1" x14ac:dyDescent="0.2">
      <c r="B37" s="396">
        <v>89025</v>
      </c>
      <c r="C37" s="396"/>
      <c r="D37" s="182" t="str">
        <f t="shared" ref="D37" si="46">IF(ISNA(VLOOKUP(B37,AllData,2,0)),"",HYPERLINK(VLOOKUP(B37,AllData,7,0),"📌"))</f>
        <v>📌</v>
      </c>
      <c r="E37" s="451" t="str">
        <f t="shared" si="41"/>
        <v>Smoke Trolley, H-shaped, 6 Levels</v>
      </c>
      <c r="F37" s="451"/>
      <c r="G37" s="451"/>
      <c r="H37" s="451"/>
      <c r="I37" s="451"/>
      <c r="J37" s="419" t="s">
        <v>3193</v>
      </c>
      <c r="K37" s="419"/>
      <c r="L37" s="419"/>
      <c r="M37" s="419"/>
      <c r="N37" s="419"/>
      <c r="O37" s="419"/>
      <c r="P37" s="456"/>
      <c r="Q37" s="456"/>
      <c r="R37" s="456"/>
      <c r="S37" s="456"/>
      <c r="T37" s="336"/>
      <c r="U37" s="336"/>
    </row>
    <row r="38" spans="2:22" ht="21" customHeight="1" x14ac:dyDescent="0.2">
      <c r="B38" s="396">
        <v>89022</v>
      </c>
      <c r="C38" s="396"/>
      <c r="D38" s="182" t="str">
        <f t="shared" ref="D38" si="47">IF(ISNA(VLOOKUP(B38,AllData,2,0)),"",HYPERLINK(VLOOKUP(B38,AllData,7,0),"📌"))</f>
        <v>📌</v>
      </c>
      <c r="E38" s="451" t="str">
        <f t="shared" si="41"/>
        <v>Charging Trolley 300 litres</v>
      </c>
      <c r="F38" s="451"/>
      <c r="G38" s="451"/>
      <c r="H38" s="451"/>
      <c r="I38" s="451"/>
      <c r="J38" s="419" t="s">
        <v>3194</v>
      </c>
      <c r="K38" s="419"/>
      <c r="L38" s="419"/>
      <c r="M38" s="419"/>
      <c r="N38" s="419"/>
      <c r="O38" s="419"/>
      <c r="P38" s="456"/>
      <c r="Q38" s="456"/>
      <c r="R38" s="456"/>
      <c r="S38" s="456"/>
      <c r="T38" s="336"/>
      <c r="U38" s="336"/>
    </row>
    <row r="39" spans="2:22" ht="21" customHeight="1" x14ac:dyDescent="0.2">
      <c r="B39" s="211"/>
      <c r="C39" s="211"/>
      <c r="D39" s="208" t="s">
        <v>62</v>
      </c>
      <c r="E39" s="452" t="s">
        <v>3070</v>
      </c>
      <c r="F39" s="452"/>
      <c r="G39" s="452"/>
      <c r="H39" s="452"/>
      <c r="I39" s="452"/>
      <c r="J39" s="452"/>
      <c r="K39" s="452"/>
      <c r="L39" s="452"/>
      <c r="M39" s="452"/>
      <c r="N39" s="452"/>
      <c r="O39" s="452"/>
      <c r="P39" s="456"/>
      <c r="Q39" s="456"/>
      <c r="R39" s="456"/>
      <c r="S39" s="456"/>
      <c r="T39" s="336"/>
    </row>
    <row r="40" spans="2:22" ht="22" thickBot="1" x14ac:dyDescent="0.3">
      <c r="B40" s="430"/>
      <c r="C40" s="430"/>
      <c r="D40" s="430"/>
      <c r="E40" s="430"/>
      <c r="F40" s="430"/>
      <c r="G40" s="430"/>
      <c r="H40" s="430"/>
      <c r="I40" s="430"/>
      <c r="J40" s="430"/>
      <c r="K40" s="430"/>
      <c r="L40" s="430"/>
      <c r="M40" s="430"/>
      <c r="N40" s="430"/>
      <c r="O40" s="430"/>
      <c r="P40" s="317"/>
      <c r="Q40" s="317"/>
      <c r="R40" s="317"/>
      <c r="S40" s="317"/>
      <c r="T40" s="336"/>
      <c r="U40" s="337"/>
      <c r="V40" s="337"/>
    </row>
    <row r="41" spans="2:22" ht="25" thickTop="1" x14ac:dyDescent="0.2">
      <c r="B41" s="453" t="s">
        <v>3048</v>
      </c>
      <c r="C41" s="454"/>
      <c r="D41" s="454"/>
      <c r="E41" s="454"/>
      <c r="F41" s="454"/>
      <c r="G41" s="454"/>
      <c r="H41" s="454"/>
      <c r="I41" s="454"/>
      <c r="J41" s="454"/>
      <c r="K41" s="454"/>
      <c r="L41" s="454"/>
      <c r="M41" s="454"/>
      <c r="N41" s="454"/>
      <c r="O41" s="455"/>
      <c r="P41" s="12"/>
      <c r="T41" s="336"/>
    </row>
    <row r="42" spans="2:22" ht="19" customHeight="1" x14ac:dyDescent="0.2">
      <c r="B42" s="183" t="s">
        <v>3047</v>
      </c>
      <c r="C42" s="271" t="s">
        <v>62</v>
      </c>
      <c r="D42" s="449" t="s">
        <v>3151</v>
      </c>
      <c r="E42" s="449"/>
      <c r="F42" s="449"/>
      <c r="G42" s="449"/>
      <c r="H42" s="449"/>
      <c r="I42" s="449"/>
      <c r="J42" s="449"/>
      <c r="K42" s="449"/>
      <c r="L42" s="449"/>
      <c r="M42" s="449"/>
      <c r="N42" s="449"/>
      <c r="O42" s="450"/>
      <c r="P42" s="12"/>
      <c r="T42" s="336"/>
    </row>
    <row r="43" spans="2:22" ht="19" customHeight="1" x14ac:dyDescent="0.2">
      <c r="B43" s="183"/>
      <c r="C43" s="282"/>
      <c r="D43" s="449"/>
      <c r="E43" s="449"/>
      <c r="F43" s="449"/>
      <c r="G43" s="449"/>
      <c r="H43" s="449"/>
      <c r="I43" s="449"/>
      <c r="J43" s="449"/>
      <c r="K43" s="449"/>
      <c r="L43" s="449"/>
      <c r="M43" s="449"/>
      <c r="N43" s="449"/>
      <c r="O43" s="450"/>
      <c r="P43" s="318"/>
      <c r="Q43" s="318"/>
      <c r="R43" s="318"/>
      <c r="S43" s="318"/>
    </row>
    <row r="44" spans="2:22" ht="20" thickBot="1" x14ac:dyDescent="0.25">
      <c r="B44" s="184" t="s">
        <v>3047</v>
      </c>
      <c r="C44" s="431" t="s">
        <v>3233</v>
      </c>
      <c r="D44" s="431"/>
      <c r="E44" s="431"/>
      <c r="F44" s="431"/>
      <c r="G44" s="431"/>
      <c r="H44" s="431"/>
      <c r="I44" s="431"/>
      <c r="J44" s="431"/>
      <c r="K44" s="431"/>
      <c r="L44" s="431"/>
      <c r="M44" s="431"/>
      <c r="N44" s="431"/>
      <c r="O44" s="432"/>
      <c r="P44" s="317"/>
      <c r="Q44" s="317"/>
      <c r="R44" s="317"/>
      <c r="S44" s="317"/>
    </row>
    <row r="45" spans="2:22" ht="10" customHeight="1" thickTop="1" thickBot="1" x14ac:dyDescent="0.25">
      <c r="B45" s="181"/>
      <c r="C45" s="181"/>
      <c r="D45" s="181"/>
      <c r="E45" s="181"/>
      <c r="F45" s="181"/>
      <c r="G45" s="181"/>
      <c r="H45" s="181"/>
      <c r="I45" s="181"/>
      <c r="J45" s="181"/>
      <c r="K45" s="181"/>
      <c r="L45" s="181"/>
      <c r="M45" s="181"/>
      <c r="N45" s="181"/>
      <c r="O45" s="181"/>
      <c r="P45" s="317"/>
      <c r="Q45" s="317"/>
      <c r="R45" s="317"/>
      <c r="S45" s="317"/>
    </row>
    <row r="46" spans="2:22" ht="25" customHeight="1" thickTop="1" x14ac:dyDescent="0.2">
      <c r="B46" s="447" t="s">
        <v>3157</v>
      </c>
      <c r="C46" s="448"/>
      <c r="D46" s="448"/>
      <c r="E46" s="448"/>
      <c r="F46" s="448"/>
      <c r="G46" s="448"/>
      <c r="H46" s="448"/>
      <c r="I46" s="333"/>
      <c r="J46" s="287"/>
      <c r="K46" s="287"/>
      <c r="L46" s="288"/>
      <c r="M46" s="288"/>
      <c r="N46" s="288"/>
      <c r="O46" s="289"/>
      <c r="P46" s="317"/>
      <c r="Q46" s="317"/>
      <c r="R46" s="317"/>
      <c r="S46" s="317"/>
    </row>
    <row r="47" spans="2:22" ht="19" customHeight="1" x14ac:dyDescent="0.2">
      <c r="B47" s="283" t="s">
        <v>3047</v>
      </c>
      <c r="C47" s="458" t="s">
        <v>3182</v>
      </c>
      <c r="D47" s="458"/>
      <c r="E47" s="458"/>
      <c r="F47" s="458"/>
      <c r="G47" s="458"/>
      <c r="H47" s="458"/>
      <c r="I47" s="458"/>
      <c r="J47" s="458"/>
      <c r="K47" s="458"/>
      <c r="L47" s="458"/>
      <c r="M47" s="458"/>
      <c r="N47" s="458"/>
      <c r="O47" s="459"/>
      <c r="P47" s="317"/>
      <c r="Q47" s="317"/>
      <c r="R47" s="317"/>
      <c r="S47" s="317"/>
    </row>
    <row r="48" spans="2:22" x14ac:dyDescent="0.2">
      <c r="B48" s="283" t="s">
        <v>3047</v>
      </c>
      <c r="C48" s="458" t="s">
        <v>3152</v>
      </c>
      <c r="D48" s="458"/>
      <c r="E48" s="458"/>
      <c r="F48" s="458"/>
      <c r="G48" s="458"/>
      <c r="H48" s="458"/>
      <c r="I48" s="458"/>
      <c r="J48" s="458"/>
      <c r="K48" s="458"/>
      <c r="L48" s="458"/>
      <c r="M48" s="458"/>
      <c r="N48" s="458"/>
      <c r="O48" s="459"/>
      <c r="P48" s="317"/>
      <c r="Q48" s="317"/>
      <c r="R48" s="317"/>
      <c r="S48" s="317"/>
    </row>
    <row r="49" spans="2:19" ht="19" customHeight="1" x14ac:dyDescent="0.2">
      <c r="B49" s="283" t="s">
        <v>3047</v>
      </c>
      <c r="C49" s="272" t="s">
        <v>62</v>
      </c>
      <c r="D49" s="458" t="s">
        <v>3198</v>
      </c>
      <c r="E49" s="458"/>
      <c r="F49" s="458"/>
      <c r="G49" s="458"/>
      <c r="H49" s="458"/>
      <c r="I49" s="458"/>
      <c r="J49" s="458"/>
      <c r="K49" s="458"/>
      <c r="L49" s="458"/>
      <c r="M49" s="458"/>
      <c r="N49" s="458"/>
      <c r="O49" s="459"/>
      <c r="P49" s="318"/>
      <c r="Q49" s="318"/>
      <c r="R49" s="318"/>
      <c r="S49" s="318"/>
    </row>
    <row r="50" spans="2:19" ht="19" customHeight="1" x14ac:dyDescent="0.2">
      <c r="B50" s="283"/>
      <c r="C50" s="272"/>
      <c r="D50" s="458"/>
      <c r="E50" s="458"/>
      <c r="F50" s="458"/>
      <c r="G50" s="458"/>
      <c r="H50" s="458"/>
      <c r="I50" s="458"/>
      <c r="J50" s="458"/>
      <c r="K50" s="458"/>
      <c r="L50" s="458"/>
      <c r="M50" s="458"/>
      <c r="N50" s="458"/>
      <c r="O50" s="459"/>
      <c r="P50" s="318"/>
      <c r="Q50" s="318"/>
      <c r="R50" s="318"/>
      <c r="S50" s="318"/>
    </row>
    <row r="51" spans="2:19" ht="21" customHeight="1" x14ac:dyDescent="0.2">
      <c r="B51" s="323"/>
      <c r="C51" s="324"/>
      <c r="D51" s="460" t="s">
        <v>3199</v>
      </c>
      <c r="E51" s="460"/>
      <c r="F51" s="460"/>
      <c r="G51" s="460"/>
      <c r="H51" s="460"/>
      <c r="I51" s="460"/>
      <c r="J51" s="460"/>
      <c r="K51" s="460"/>
      <c r="L51" s="460"/>
      <c r="M51" s="460"/>
      <c r="N51" s="460"/>
      <c r="O51" s="461"/>
      <c r="P51" s="318"/>
      <c r="Q51" s="318"/>
      <c r="R51" s="318"/>
    </row>
    <row r="52" spans="2:19" ht="10" customHeight="1" x14ac:dyDescent="0.2">
      <c r="B52" s="283"/>
      <c r="C52" s="284"/>
      <c r="D52" s="285"/>
      <c r="E52" s="285"/>
      <c r="F52" s="285"/>
      <c r="G52" s="285"/>
      <c r="H52" s="285"/>
      <c r="I52" s="285"/>
      <c r="J52" s="285"/>
      <c r="K52" s="285"/>
      <c r="L52" s="285"/>
      <c r="M52" s="285"/>
      <c r="N52" s="285"/>
      <c r="O52" s="286"/>
      <c r="P52" s="318"/>
      <c r="Q52" s="318"/>
      <c r="R52" s="318"/>
      <c r="S52" s="318"/>
    </row>
    <row r="53" spans="2:19" ht="20" thickBot="1" x14ac:dyDescent="0.25">
      <c r="B53" s="462" t="s">
        <v>3153</v>
      </c>
      <c r="C53" s="463"/>
      <c r="D53" s="463"/>
      <c r="E53" s="463"/>
      <c r="F53" s="463"/>
      <c r="G53" s="463"/>
      <c r="H53" s="463"/>
      <c r="I53" s="463"/>
      <c r="J53" s="463"/>
      <c r="K53" s="463"/>
      <c r="L53" s="463"/>
      <c r="M53" s="463"/>
      <c r="N53" s="463"/>
      <c r="O53" s="464"/>
      <c r="P53" s="318"/>
      <c r="Q53" s="318"/>
      <c r="R53" s="318"/>
      <c r="S53" s="318"/>
    </row>
    <row r="54" spans="2:19" ht="10" customHeight="1" thickTop="1" thickBot="1" x14ac:dyDescent="0.3">
      <c r="B54" s="430"/>
      <c r="C54" s="430"/>
      <c r="D54" s="430"/>
      <c r="E54" s="430"/>
      <c r="F54" s="430"/>
      <c r="G54" s="430"/>
      <c r="H54" s="430"/>
      <c r="I54" s="430"/>
      <c r="J54" s="430"/>
      <c r="K54" s="430"/>
      <c r="L54" s="430"/>
      <c r="M54" s="430"/>
      <c r="N54" s="430"/>
      <c r="O54" s="430"/>
      <c r="P54" s="318"/>
      <c r="Q54" s="318"/>
      <c r="R54" s="318"/>
      <c r="S54" s="318"/>
    </row>
    <row r="55" spans="2:19" ht="25" thickTop="1" x14ac:dyDescent="0.2">
      <c r="B55" s="453" t="s">
        <v>3154</v>
      </c>
      <c r="C55" s="454"/>
      <c r="D55" s="454"/>
      <c r="E55" s="454"/>
      <c r="F55" s="454"/>
      <c r="G55" s="454"/>
      <c r="H55" s="454"/>
      <c r="I55" s="454"/>
      <c r="J55" s="454"/>
      <c r="K55" s="454"/>
      <c r="L55" s="454"/>
      <c r="M55" s="454"/>
      <c r="N55" s="454"/>
      <c r="O55" s="455"/>
      <c r="P55" s="318"/>
      <c r="Q55" s="318"/>
      <c r="R55" s="318"/>
      <c r="S55" s="318"/>
    </row>
    <row r="56" spans="2:19" ht="19" customHeight="1" x14ac:dyDescent="0.2">
      <c r="B56" s="290" t="s">
        <v>3047</v>
      </c>
      <c r="C56" s="449" t="s">
        <v>3236</v>
      </c>
      <c r="D56" s="449"/>
      <c r="E56" s="449"/>
      <c r="F56" s="449"/>
      <c r="G56" s="449"/>
      <c r="H56" s="449"/>
      <c r="I56" s="449"/>
      <c r="J56" s="449"/>
      <c r="K56" s="449"/>
      <c r="L56" s="449"/>
      <c r="M56" s="449"/>
      <c r="N56" s="449"/>
      <c r="O56" s="450"/>
      <c r="P56" s="318"/>
      <c r="Q56" s="318"/>
      <c r="R56" s="318"/>
      <c r="S56" s="318"/>
    </row>
    <row r="57" spans="2:19" x14ac:dyDescent="0.2">
      <c r="B57" s="290"/>
      <c r="C57" s="449"/>
      <c r="D57" s="449"/>
      <c r="E57" s="449"/>
      <c r="F57" s="449"/>
      <c r="G57" s="449"/>
      <c r="H57" s="449"/>
      <c r="I57" s="449"/>
      <c r="J57" s="449"/>
      <c r="K57" s="449"/>
      <c r="L57" s="449"/>
      <c r="M57" s="449"/>
      <c r="N57" s="449"/>
      <c r="O57" s="450"/>
      <c r="P57" s="318"/>
      <c r="Q57" s="318"/>
      <c r="R57" s="318"/>
      <c r="S57" s="318"/>
    </row>
    <row r="58" spans="2:19" ht="20" thickBot="1" x14ac:dyDescent="0.25">
      <c r="B58" s="291" t="s">
        <v>3047</v>
      </c>
      <c r="C58" s="431" t="s">
        <v>3155</v>
      </c>
      <c r="D58" s="431"/>
      <c r="E58" s="431"/>
      <c r="F58" s="431"/>
      <c r="G58" s="431"/>
      <c r="H58" s="431"/>
      <c r="I58" s="431"/>
      <c r="J58" s="431"/>
      <c r="K58" s="431"/>
      <c r="L58" s="431"/>
      <c r="M58" s="431"/>
      <c r="N58" s="431"/>
      <c r="O58" s="432"/>
      <c r="P58" s="318"/>
      <c r="Q58" s="318"/>
      <c r="R58" s="318"/>
      <c r="S58" s="318"/>
    </row>
    <row r="59" spans="2:19" ht="10" customHeight="1" thickTop="1" thickBot="1" x14ac:dyDescent="0.25">
      <c r="B59" s="292"/>
      <c r="C59" s="292"/>
      <c r="D59" s="292"/>
      <c r="E59" s="292"/>
      <c r="F59" s="292"/>
      <c r="G59" s="292"/>
      <c r="H59" s="292"/>
      <c r="I59" s="292"/>
      <c r="J59" s="292"/>
      <c r="K59" s="292"/>
      <c r="L59" s="292"/>
      <c r="M59" s="292"/>
      <c r="N59" s="292"/>
      <c r="O59" s="292"/>
      <c r="P59" s="318"/>
      <c r="Q59" s="318"/>
      <c r="R59" s="318"/>
      <c r="S59" s="318"/>
    </row>
    <row r="60" spans="2:19" ht="25" thickTop="1" x14ac:dyDescent="0.2">
      <c r="B60" s="433" t="s">
        <v>3200</v>
      </c>
      <c r="C60" s="434"/>
      <c r="D60" s="434"/>
      <c r="E60" s="434"/>
      <c r="F60" s="434"/>
      <c r="G60" s="434"/>
      <c r="H60" s="434"/>
      <c r="I60" s="434"/>
      <c r="J60" s="434"/>
      <c r="K60" s="434"/>
      <c r="L60" s="434"/>
      <c r="M60" s="434"/>
      <c r="N60" s="434"/>
      <c r="O60" s="435"/>
      <c r="P60" s="318"/>
      <c r="Q60" s="318"/>
      <c r="R60" s="318"/>
      <c r="S60" s="318"/>
    </row>
    <row r="61" spans="2:19" ht="10" customHeight="1" x14ac:dyDescent="0.2">
      <c r="B61" s="293"/>
      <c r="C61" s="436"/>
      <c r="D61" s="436"/>
      <c r="E61" s="436"/>
      <c r="F61" s="436"/>
      <c r="G61" s="436"/>
      <c r="H61" s="436"/>
      <c r="I61" s="436"/>
      <c r="J61" s="436"/>
      <c r="K61" s="436"/>
      <c r="L61" s="436"/>
      <c r="M61" s="436"/>
      <c r="N61" s="436"/>
      <c r="O61" s="437"/>
      <c r="P61" s="318"/>
      <c r="Q61" s="318"/>
      <c r="R61" s="318"/>
      <c r="S61" s="318"/>
    </row>
    <row r="62" spans="2:19" ht="21" customHeight="1" x14ac:dyDescent="0.2">
      <c r="B62" s="294"/>
      <c r="C62" s="295"/>
      <c r="D62" s="295"/>
      <c r="E62" s="438" t="s">
        <v>3138</v>
      </c>
      <c r="F62" s="438"/>
      <c r="G62" s="438"/>
      <c r="H62" s="438"/>
      <c r="I62" s="296" t="s">
        <v>3139</v>
      </c>
      <c r="J62" s="296" t="s">
        <v>3064</v>
      </c>
      <c r="K62" s="296"/>
      <c r="L62" s="297"/>
      <c r="M62" s="297"/>
      <c r="N62" s="297"/>
      <c r="O62" s="298"/>
      <c r="P62" s="318"/>
      <c r="Q62" s="318"/>
      <c r="R62" s="318"/>
      <c r="S62" s="318"/>
    </row>
    <row r="63" spans="2:19" ht="21" customHeight="1" x14ac:dyDescent="0.2">
      <c r="B63" s="294"/>
      <c r="C63" s="428" t="s">
        <v>3172</v>
      </c>
      <c r="D63" s="428"/>
      <c r="E63" s="390" t="s">
        <v>3239</v>
      </c>
      <c r="F63" s="390"/>
      <c r="G63" s="390"/>
      <c r="H63" s="390"/>
      <c r="I63" s="335" t="s">
        <v>3240</v>
      </c>
      <c r="J63" s="390" t="s">
        <v>3203</v>
      </c>
      <c r="K63" s="390"/>
      <c r="L63" s="390"/>
      <c r="M63" s="390"/>
      <c r="N63" s="390"/>
      <c r="O63" s="392"/>
      <c r="P63" s="318"/>
      <c r="Q63" s="318"/>
      <c r="R63" s="318"/>
      <c r="S63" s="318"/>
    </row>
    <row r="64" spans="2:19" ht="21" x14ac:dyDescent="0.2">
      <c r="B64" s="294"/>
      <c r="C64" s="390"/>
      <c r="D64" s="390"/>
      <c r="E64" s="390"/>
      <c r="F64" s="390"/>
      <c r="G64" s="390"/>
      <c r="H64" s="390"/>
      <c r="I64" s="393" t="s">
        <v>3241</v>
      </c>
      <c r="J64" s="390"/>
      <c r="K64" s="390"/>
      <c r="L64" s="390"/>
      <c r="M64" s="390"/>
      <c r="N64" s="390"/>
      <c r="O64" s="392"/>
      <c r="P64" s="318"/>
      <c r="Q64" s="318"/>
      <c r="R64" s="318"/>
      <c r="S64" s="318"/>
    </row>
    <row r="65" spans="2:19" ht="21" customHeight="1" x14ac:dyDescent="0.2">
      <c r="B65" s="294"/>
      <c r="C65" s="428" t="s">
        <v>3173</v>
      </c>
      <c r="D65" s="428"/>
      <c r="E65" s="390" t="s">
        <v>3201</v>
      </c>
      <c r="F65" s="390"/>
      <c r="G65" s="390"/>
      <c r="H65" s="390"/>
      <c r="I65" s="335" t="s">
        <v>3202</v>
      </c>
      <c r="J65" s="390" t="s">
        <v>3203</v>
      </c>
      <c r="K65" s="390"/>
      <c r="L65" s="390"/>
      <c r="M65" s="390"/>
      <c r="N65" s="390"/>
      <c r="O65" s="392"/>
      <c r="P65" s="318"/>
      <c r="Q65" s="318"/>
      <c r="R65" s="318"/>
      <c r="S65" s="318"/>
    </row>
    <row r="66" spans="2:19" ht="22" customHeight="1" x14ac:dyDescent="0.2">
      <c r="B66" s="294"/>
      <c r="C66" s="428" t="s">
        <v>3207</v>
      </c>
      <c r="D66" s="428"/>
      <c r="E66" s="390" t="s">
        <v>3204</v>
      </c>
      <c r="F66" s="390"/>
      <c r="G66" s="390"/>
      <c r="H66" s="390"/>
      <c r="I66" s="335" t="s">
        <v>3205</v>
      </c>
      <c r="J66" s="390" t="s">
        <v>3206</v>
      </c>
      <c r="K66" s="390"/>
      <c r="L66" s="390"/>
      <c r="M66" s="390"/>
      <c r="N66" s="390"/>
      <c r="O66" s="392"/>
      <c r="P66" s="318"/>
      <c r="Q66" s="318"/>
      <c r="R66" s="318"/>
      <c r="S66" s="318"/>
    </row>
    <row r="67" spans="2:19" ht="22" customHeight="1" x14ac:dyDescent="0.2">
      <c r="B67" s="294"/>
      <c r="C67" s="428" t="s">
        <v>3210</v>
      </c>
      <c r="D67" s="428"/>
      <c r="E67" s="390" t="s">
        <v>3201</v>
      </c>
      <c r="F67" s="390"/>
      <c r="G67" s="390"/>
      <c r="H67" s="390"/>
      <c r="I67" s="335" t="s">
        <v>3208</v>
      </c>
      <c r="J67" s="390" t="s">
        <v>3209</v>
      </c>
      <c r="K67" s="390"/>
      <c r="L67" s="390"/>
      <c r="M67" s="390"/>
      <c r="N67" s="390"/>
      <c r="O67" s="392"/>
      <c r="P67" s="318"/>
      <c r="Q67" s="318"/>
      <c r="R67" s="318"/>
      <c r="S67" s="318"/>
    </row>
    <row r="68" spans="2:19" ht="22" customHeight="1" x14ac:dyDescent="0.2">
      <c r="B68" s="294"/>
      <c r="C68" s="428" t="s">
        <v>3242</v>
      </c>
      <c r="D68" s="428"/>
      <c r="E68" s="429" t="s">
        <v>3140</v>
      </c>
      <c r="F68" s="429"/>
      <c r="G68" s="429"/>
      <c r="H68" s="429"/>
      <c r="I68" s="335" t="s">
        <v>3141</v>
      </c>
      <c r="J68" s="428" t="s">
        <v>3211</v>
      </c>
      <c r="K68" s="428"/>
      <c r="L68" s="428"/>
      <c r="M68" s="428"/>
      <c r="N68" s="428"/>
      <c r="O68" s="446"/>
      <c r="P68" s="318"/>
      <c r="Q68" s="318"/>
      <c r="R68" s="318"/>
      <c r="S68" s="318"/>
    </row>
    <row r="69" spans="2:19" ht="21" x14ac:dyDescent="0.2">
      <c r="B69" s="294"/>
      <c r="C69" s="390"/>
      <c r="D69" s="390"/>
      <c r="E69" s="429"/>
      <c r="F69" s="429"/>
      <c r="G69" s="429"/>
      <c r="H69" s="429"/>
      <c r="I69" s="335"/>
      <c r="J69" s="428"/>
      <c r="K69" s="428"/>
      <c r="L69" s="428"/>
      <c r="M69" s="428"/>
      <c r="N69" s="428"/>
      <c r="O69" s="446"/>
      <c r="P69" s="318"/>
      <c r="Q69" s="318"/>
      <c r="R69" s="318"/>
      <c r="S69" s="318"/>
    </row>
    <row r="70" spans="2:19" ht="21" customHeight="1" x14ac:dyDescent="0.2">
      <c r="B70" s="294"/>
      <c r="C70" s="428" t="s">
        <v>3212</v>
      </c>
      <c r="D70" s="428"/>
      <c r="E70" s="429" t="s">
        <v>3216</v>
      </c>
      <c r="F70" s="429"/>
      <c r="G70" s="429"/>
      <c r="H70" s="429"/>
      <c r="I70" s="335" t="s">
        <v>3218</v>
      </c>
      <c r="J70" s="390" t="s">
        <v>3206</v>
      </c>
      <c r="K70" s="390"/>
      <c r="L70" s="390"/>
      <c r="M70" s="390"/>
      <c r="N70" s="390"/>
      <c r="O70" s="392"/>
      <c r="P70" s="318"/>
      <c r="Q70" s="318"/>
      <c r="R70" s="318"/>
      <c r="S70" s="318"/>
    </row>
    <row r="71" spans="2:19" ht="21" customHeight="1" x14ac:dyDescent="0.2">
      <c r="B71" s="294"/>
      <c r="C71" s="390"/>
      <c r="D71" s="390"/>
      <c r="E71" s="445" t="s">
        <v>3217</v>
      </c>
      <c r="F71" s="445"/>
      <c r="G71" s="445"/>
      <c r="H71" s="445"/>
      <c r="I71" s="335"/>
      <c r="J71" s="390"/>
      <c r="K71" s="390"/>
      <c r="L71" s="390"/>
      <c r="M71" s="390"/>
      <c r="N71" s="390"/>
      <c r="O71" s="392"/>
      <c r="P71" s="318"/>
      <c r="Q71" s="318"/>
      <c r="R71" s="318"/>
      <c r="S71" s="318"/>
    </row>
    <row r="72" spans="2:19" ht="22" customHeight="1" x14ac:dyDescent="0.2">
      <c r="B72" s="294"/>
      <c r="C72" s="428" t="s">
        <v>3243</v>
      </c>
      <c r="D72" s="428"/>
      <c r="E72" s="390" t="s">
        <v>3142</v>
      </c>
      <c r="F72" s="390"/>
      <c r="G72" s="390"/>
      <c r="H72" s="390"/>
      <c r="I72" s="335" t="s">
        <v>3143</v>
      </c>
      <c r="J72" s="390" t="s">
        <v>3213</v>
      </c>
      <c r="K72" s="390"/>
      <c r="L72" s="390"/>
      <c r="M72" s="390"/>
      <c r="N72" s="390"/>
      <c r="O72" s="392"/>
      <c r="P72" s="318"/>
      <c r="Q72" s="318"/>
      <c r="R72" s="318"/>
      <c r="S72" s="318"/>
    </row>
    <row r="73" spans="2:19" ht="10" customHeight="1" x14ac:dyDescent="0.25">
      <c r="B73" s="294"/>
      <c r="C73" s="391"/>
      <c r="D73" s="391"/>
      <c r="E73" s="391"/>
      <c r="F73" s="391"/>
      <c r="G73" s="391"/>
      <c r="H73" s="391"/>
      <c r="I73" s="391"/>
      <c r="J73" s="299"/>
      <c r="K73" s="299"/>
      <c r="L73" s="295"/>
      <c r="M73" s="295"/>
      <c r="N73" s="295"/>
      <c r="O73" s="298"/>
      <c r="P73" s="318"/>
      <c r="Q73" s="318"/>
      <c r="R73" s="318"/>
      <c r="S73" s="318"/>
    </row>
    <row r="74" spans="2:19" ht="20" thickBot="1" x14ac:dyDescent="0.25">
      <c r="B74" s="439" t="s">
        <v>3156</v>
      </c>
      <c r="C74" s="440"/>
      <c r="D74" s="440"/>
      <c r="E74" s="440"/>
      <c r="F74" s="440"/>
      <c r="G74" s="440"/>
      <c r="H74" s="440"/>
      <c r="I74" s="440"/>
      <c r="J74" s="440"/>
      <c r="K74" s="440"/>
      <c r="L74" s="440"/>
      <c r="M74" s="440"/>
      <c r="N74" s="440"/>
      <c r="O74" s="441"/>
      <c r="P74" s="318"/>
      <c r="Q74" s="318"/>
      <c r="R74" s="318"/>
      <c r="S74" s="318"/>
    </row>
    <row r="75" spans="2:19" ht="25" customHeight="1" thickTop="1" x14ac:dyDescent="0.25">
      <c r="B75" s="442" t="s">
        <v>57</v>
      </c>
      <c r="C75" s="442"/>
      <c r="D75" s="442"/>
      <c r="E75" s="442"/>
      <c r="F75" s="442"/>
      <c r="G75" s="442"/>
      <c r="H75" s="442"/>
      <c r="I75" s="443"/>
      <c r="J75" s="443"/>
      <c r="K75" s="443"/>
      <c r="L75" s="443"/>
      <c r="M75" s="443"/>
      <c r="N75" s="443"/>
      <c r="O75" s="443"/>
      <c r="P75" s="318"/>
      <c r="Q75" s="318"/>
      <c r="R75" s="318"/>
      <c r="S75" s="318"/>
    </row>
    <row r="76" spans="2:19" ht="21" customHeight="1" x14ac:dyDescent="0.2">
      <c r="B76" s="302">
        <v>1</v>
      </c>
      <c r="C76" s="302"/>
      <c r="D76" s="185" t="s">
        <v>62</v>
      </c>
      <c r="E76" s="444" t="s">
        <v>3174</v>
      </c>
      <c r="F76" s="444"/>
      <c r="G76" s="444"/>
      <c r="H76" s="444"/>
      <c r="I76" s="444"/>
      <c r="J76" s="444"/>
      <c r="K76" s="444"/>
      <c r="L76" s="444"/>
      <c r="M76" s="444"/>
      <c r="N76" s="444"/>
      <c r="O76" s="444"/>
      <c r="P76" s="318"/>
      <c r="Q76" s="318"/>
      <c r="R76" s="318"/>
      <c r="S76" s="318"/>
    </row>
    <row r="77" spans="2:19" ht="16" customHeight="1" x14ac:dyDescent="0.2">
      <c r="B77" s="300"/>
      <c r="C77" s="300"/>
      <c r="D77" s="301"/>
      <c r="E77" s="444"/>
      <c r="F77" s="444"/>
      <c r="G77" s="444"/>
      <c r="H77" s="444"/>
      <c r="I77" s="444"/>
      <c r="J77" s="444"/>
      <c r="K77" s="444"/>
      <c r="L77" s="444"/>
      <c r="M77" s="444"/>
      <c r="N77" s="444"/>
      <c r="O77" s="444"/>
      <c r="P77" s="318"/>
      <c r="Q77" s="318"/>
      <c r="R77" s="318"/>
      <c r="S77" s="318"/>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O2136" s="12"/>
      <c r="P2136" s="12"/>
    </row>
    <row r="2137" spans="15:16" x14ac:dyDescent="0.25">
      <c r="O2137" s="12"/>
      <c r="P2137" s="12"/>
    </row>
    <row r="2138" spans="15:16" x14ac:dyDescent="0.25">
      <c r="P2138" s="12"/>
    </row>
  </sheetData>
  <sheetProtection algorithmName="SHA-512" hashValue="cbHYFAjvpI3AYPLtPmuZ9YQgmrZv7U0plnjgZozG4d+KmYjnb4D6+q47hjFbgOsU5CbpOOaBEZ99wIKBEs9W9A==" saltValue="lKsSU93ba9Kp8GFwHxVK/A==" spinCount="100000" sheet="1" formatColumns="0" formatRows="0" selectLockedCells="1"/>
  <mergeCells count="98">
    <mergeCell ref="P32:S39"/>
    <mergeCell ref="C70:D70"/>
    <mergeCell ref="E70:H70"/>
    <mergeCell ref="C72:D72"/>
    <mergeCell ref="B37:C37"/>
    <mergeCell ref="E35:I35"/>
    <mergeCell ref="B33:C33"/>
    <mergeCell ref="C47:O47"/>
    <mergeCell ref="C48:O48"/>
    <mergeCell ref="D49:O50"/>
    <mergeCell ref="D51:O51"/>
    <mergeCell ref="B53:O53"/>
    <mergeCell ref="B54:O54"/>
    <mergeCell ref="B41:O41"/>
    <mergeCell ref="D42:O43"/>
    <mergeCell ref="C44:O44"/>
    <mergeCell ref="E37:I37"/>
    <mergeCell ref="J37:O37"/>
    <mergeCell ref="E39:O39"/>
    <mergeCell ref="B55:O55"/>
    <mergeCell ref="B38:C38"/>
    <mergeCell ref="E38:I38"/>
    <mergeCell ref="J38:O38"/>
    <mergeCell ref="B74:O74"/>
    <mergeCell ref="B75:O75"/>
    <mergeCell ref="E76:O77"/>
    <mergeCell ref="E71:H71"/>
    <mergeCell ref="C68:D68"/>
    <mergeCell ref="J68:O69"/>
    <mergeCell ref="C66:D66"/>
    <mergeCell ref="C67:D67"/>
    <mergeCell ref="C63:D63"/>
    <mergeCell ref="E68:H69"/>
    <mergeCell ref="B40:O40"/>
    <mergeCell ref="C58:O58"/>
    <mergeCell ref="B60:O60"/>
    <mergeCell ref="C61:O61"/>
    <mergeCell ref="E62:H62"/>
    <mergeCell ref="C65:D65"/>
    <mergeCell ref="B46:H46"/>
    <mergeCell ref="C56:O57"/>
    <mergeCell ref="B32:C32"/>
    <mergeCell ref="J35:O35"/>
    <mergeCell ref="E31:J31"/>
    <mergeCell ref="E32:I32"/>
    <mergeCell ref="J32:O32"/>
    <mergeCell ref="E33:I33"/>
    <mergeCell ref="J33:O33"/>
    <mergeCell ref="B36:C36"/>
    <mergeCell ref="E36:I36"/>
    <mergeCell ref="J36:O36"/>
    <mergeCell ref="J1:N7"/>
    <mergeCell ref="E26:I26"/>
    <mergeCell ref="B20:C20"/>
    <mergeCell ref="E20:I20"/>
    <mergeCell ref="E24:I24"/>
    <mergeCell ref="B13:I13"/>
    <mergeCell ref="B11:J11"/>
    <mergeCell ref="E22:I22"/>
    <mergeCell ref="B8:J8"/>
    <mergeCell ref="B34:C34"/>
    <mergeCell ref="E34:I34"/>
    <mergeCell ref="J34:O34"/>
    <mergeCell ref="B35:C35"/>
    <mergeCell ref="P8:S9"/>
    <mergeCell ref="B24:C24"/>
    <mergeCell ref="E19:I19"/>
    <mergeCell ref="E23:I23"/>
    <mergeCell ref="B23:C23"/>
    <mergeCell ref="B9:I9"/>
    <mergeCell ref="B21:C21"/>
    <mergeCell ref="P18:Q18"/>
    <mergeCell ref="B19:C19"/>
    <mergeCell ref="L18:O18"/>
    <mergeCell ref="E18:J18"/>
    <mergeCell ref="B14:I14"/>
    <mergeCell ref="B15:I15"/>
    <mergeCell ref="B17:J17"/>
    <mergeCell ref="B16:I16"/>
    <mergeCell ref="T16:U17"/>
    <mergeCell ref="P10:S10"/>
    <mergeCell ref="B26:C26"/>
    <mergeCell ref="R11:S11"/>
    <mergeCell ref="P11:Q11"/>
    <mergeCell ref="B22:C22"/>
    <mergeCell ref="B10:O10"/>
    <mergeCell ref="B12:I12"/>
    <mergeCell ref="P31:S31"/>
    <mergeCell ref="T18:U18"/>
    <mergeCell ref="B28:J28"/>
    <mergeCell ref="L29:N29"/>
    <mergeCell ref="R18:S18"/>
    <mergeCell ref="B29:J29"/>
    <mergeCell ref="E27:I27"/>
    <mergeCell ref="B27:C27"/>
    <mergeCell ref="B25:C25"/>
    <mergeCell ref="E25:I25"/>
    <mergeCell ref="E21:I21"/>
  </mergeCells>
  <phoneticPr fontId="6" type="noConversion"/>
  <conditionalFormatting sqref="U19:U20 U26:U27 U23">
    <cfRule type="cellIs" dxfId="142" priority="59" operator="equal">
      <formula>0</formula>
    </cfRule>
  </conditionalFormatting>
  <conditionalFormatting sqref="U22:U23">
    <cfRule type="cellIs" dxfId="141" priority="58" operator="equal">
      <formula>0</formula>
    </cfRule>
  </conditionalFormatting>
  <conditionalFormatting sqref="L22:M23">
    <cfRule type="cellIs" dxfId="140" priority="56" operator="lessThan">
      <formula>0</formula>
    </cfRule>
  </conditionalFormatting>
  <conditionalFormatting sqref="N19">
    <cfRule type="cellIs" dxfId="139" priority="54" operator="equal">
      <formula>0</formula>
    </cfRule>
  </conditionalFormatting>
  <conditionalFormatting sqref="O19">
    <cfRule type="expression" dxfId="138" priority="53">
      <formula>N19=0</formula>
    </cfRule>
  </conditionalFormatting>
  <conditionalFormatting sqref="N20">
    <cfRule type="cellIs" dxfId="137" priority="52" operator="equal">
      <formula>0</formula>
    </cfRule>
  </conditionalFormatting>
  <conditionalFormatting sqref="O20">
    <cfRule type="expression" dxfId="136" priority="51">
      <formula>N20=0</formula>
    </cfRule>
  </conditionalFormatting>
  <conditionalFormatting sqref="N22:N23">
    <cfRule type="cellIs" dxfId="135" priority="48" operator="lessThan">
      <formula>0</formula>
    </cfRule>
  </conditionalFormatting>
  <conditionalFormatting sqref="O22">
    <cfRule type="expression" dxfId="134" priority="47">
      <formula>N22&lt;0</formula>
    </cfRule>
  </conditionalFormatting>
  <conditionalFormatting sqref="N24 N26">
    <cfRule type="cellIs" dxfId="133" priority="46" operator="equal">
      <formula>0</formula>
    </cfRule>
  </conditionalFormatting>
  <conditionalFormatting sqref="O24 O26">
    <cfRule type="expression" dxfId="132" priority="45">
      <formula>N24=0</formula>
    </cfRule>
  </conditionalFormatting>
  <conditionalFormatting sqref="N27">
    <cfRule type="cellIs" dxfId="131" priority="40" operator="equal">
      <formula>0</formula>
    </cfRule>
  </conditionalFormatting>
  <conditionalFormatting sqref="O27">
    <cfRule type="expression" dxfId="130" priority="39">
      <formula>N27=0</formula>
    </cfRule>
  </conditionalFormatting>
  <conditionalFormatting sqref="R19 R22">
    <cfRule type="expression" dxfId="129" priority="38">
      <formula>N19=0</formula>
    </cfRule>
  </conditionalFormatting>
  <conditionalFormatting sqref="S19 S22">
    <cfRule type="expression" dxfId="128" priority="37">
      <formula>N19=0</formula>
    </cfRule>
  </conditionalFormatting>
  <conditionalFormatting sqref="R20">
    <cfRule type="expression" dxfId="127" priority="36">
      <formula>N20=0</formula>
    </cfRule>
  </conditionalFormatting>
  <conditionalFormatting sqref="S20">
    <cfRule type="expression" dxfId="126" priority="35">
      <formula>N20=0</formula>
    </cfRule>
  </conditionalFormatting>
  <conditionalFormatting sqref="R24">
    <cfRule type="expression" dxfId="125" priority="30">
      <formula>N24=0</formula>
    </cfRule>
  </conditionalFormatting>
  <conditionalFormatting sqref="S24">
    <cfRule type="expression" dxfId="124" priority="29">
      <formula>N24=0</formula>
    </cfRule>
  </conditionalFormatting>
  <conditionalFormatting sqref="R26">
    <cfRule type="expression" dxfId="123" priority="26">
      <formula>N26=0</formula>
    </cfRule>
  </conditionalFormatting>
  <conditionalFormatting sqref="S26">
    <cfRule type="expression" dxfId="122" priority="25">
      <formula>N26=0</formula>
    </cfRule>
  </conditionalFormatting>
  <conditionalFormatting sqref="R23">
    <cfRule type="expression" dxfId="121" priority="24">
      <formula>N23=0</formula>
    </cfRule>
  </conditionalFormatting>
  <conditionalFormatting sqref="S23">
    <cfRule type="expression" dxfId="120" priority="23">
      <formula>N23=0</formula>
    </cfRule>
  </conditionalFormatting>
  <conditionalFormatting sqref="R27">
    <cfRule type="expression" dxfId="119" priority="22">
      <formula>N27=0</formula>
    </cfRule>
  </conditionalFormatting>
  <conditionalFormatting sqref="S27">
    <cfRule type="expression" dxfId="118" priority="21">
      <formula>N27=0</formula>
    </cfRule>
  </conditionalFormatting>
  <conditionalFormatting sqref="N23">
    <cfRule type="cellIs" dxfId="117" priority="20" operator="equal">
      <formula>0</formula>
    </cfRule>
  </conditionalFormatting>
  <conditionalFormatting sqref="N16">
    <cfRule type="cellIs" dxfId="116" priority="19" operator="equal">
      <formula>0</formula>
    </cfRule>
  </conditionalFormatting>
  <conditionalFormatting sqref="O23">
    <cfRule type="expression" dxfId="115" priority="18">
      <formula>N23=0</formula>
    </cfRule>
  </conditionalFormatting>
  <conditionalFormatting sqref="O16">
    <cfRule type="expression" dxfId="114" priority="17">
      <formula>N16=0</formula>
    </cfRule>
  </conditionalFormatting>
  <conditionalFormatting sqref="U24">
    <cfRule type="cellIs" dxfId="113" priority="16" operator="equal">
      <formula>0</formula>
    </cfRule>
  </conditionalFormatting>
  <conditionalFormatting sqref="N25">
    <cfRule type="cellIs" dxfId="112" priority="15" operator="equal">
      <formula>0</formula>
    </cfRule>
  </conditionalFormatting>
  <conditionalFormatting sqref="O25">
    <cfRule type="expression" dxfId="111" priority="14">
      <formula>N25=0</formula>
    </cfRule>
  </conditionalFormatting>
  <conditionalFormatting sqref="R25">
    <cfRule type="expression" dxfId="110" priority="13">
      <formula>N25=0</formula>
    </cfRule>
  </conditionalFormatting>
  <conditionalFormatting sqref="S25">
    <cfRule type="expression" dxfId="109" priority="12">
      <formula>N25=0</formula>
    </cfRule>
  </conditionalFormatting>
  <conditionalFormatting sqref="U25">
    <cfRule type="cellIs" dxfId="108" priority="11" operator="equal">
      <formula>0</formula>
    </cfRule>
  </conditionalFormatting>
  <conditionalFormatting sqref="U21">
    <cfRule type="cellIs" dxfId="107" priority="5" operator="equal">
      <formula>0</formula>
    </cfRule>
  </conditionalFormatting>
  <conditionalFormatting sqref="N21">
    <cfRule type="cellIs" dxfId="106" priority="4" operator="equal">
      <formula>0</formula>
    </cfRule>
  </conditionalFormatting>
  <conditionalFormatting sqref="O21">
    <cfRule type="expression" dxfId="105" priority="3">
      <formula>N21=0</formula>
    </cfRule>
  </conditionalFormatting>
  <conditionalFormatting sqref="R21">
    <cfRule type="expression" dxfId="104" priority="2">
      <formula>N21=0</formula>
    </cfRule>
  </conditionalFormatting>
  <conditionalFormatting sqref="S21">
    <cfRule type="expression" dxfId="103" priority="1">
      <formula>N21=0</formula>
    </cfRule>
  </conditionalFormatting>
  <dataValidations count="5">
    <dataValidation errorStyle="warning" allowBlank="1" showInputMessage="1" showErrorMessage="1" sqref="L12:M14 M23:M27" xr:uid="{00000000-0002-0000-0000-000000000000}"/>
    <dataValidation type="list" allowBlank="1" showInputMessage="1" showErrorMessage="1" sqref="B32 B33:C38 B19:B23 C20:C23 B23:C27" xr:uid="{00000000-0002-0000-0000-000002000000}">
      <formula1>Nummern</formula1>
    </dataValidation>
    <dataValidation type="list" allowBlank="1" showDropDown="1" showInputMessage="1" showErrorMessage="1" sqref="E32:E39 E19:E27" xr:uid="{00000000-0002-0000-0000-000003000000}">
      <formula1>Namen</formula1>
    </dataValidation>
    <dataValidation allowBlank="1" sqref="B14:I14" xr:uid="{00000000-0002-0000-0000-000004000000}"/>
    <dataValidation allowBlank="1" showInputMessage="1" sqref="L32:O32 J32:K38" xr:uid="{EC45A963-CA80-EB47-9CEB-DA52A07B6743}"/>
  </dataValidations>
  <hyperlinks>
    <hyperlink ref="B14:I14" location="'AGAGEL® Emulsion'!A1" display="AGAGEL® 600 Emulsion" xr:uid="{00000000-0004-0000-0000-000003000000}"/>
    <hyperlink ref="D39" r:id="rId1" xr:uid="{BE87B273-F31F-8C48-B1F5-B8DE877F0AC2}"/>
    <hyperlink ref="C42" location="'AGAGEL® Emulsion'!A1" display="📌" xr:uid="{B7B1F203-7DE4-CA45-91F8-80BD5AEA82E3}"/>
    <hyperlink ref="D76" r:id="rId2" xr:uid="{02B471A8-E82C-9A48-9408-4AD731E62C14}"/>
    <hyperlink ref="C49" location="'Process-Flow-Frankfurter'!A1" display="📌" xr:uid="{9D162CA5-C592-2541-B534-C2E53884D44F}"/>
    <hyperlink ref="D51:I51" r:id="rId3" display="Bowl Chopper Process-Flow Video on youtube" xr:uid="{34BB9FFC-D6B0-7941-9A9F-1B7396565445}"/>
    <hyperlink ref="D51:O51"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9"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J19:K23 J23:J27</xm:sqref>
        </x14:dataValidation>
        <x14:dataValidation type="list" allowBlank="1" xr:uid="{00000000-0002-0000-0000-000006000000}">
          <x14:formula1>
            <xm:f>Functions!$R$3:$R$23</xm:f>
          </x14:formula1>
          <xm:sqref>K12:K13 J12:J14</xm:sqref>
        </x14:dataValidation>
        <x14:dataValidation type="list" allowBlank="1" showInputMessage="1" showErrorMessage="1" xr:uid="{4CCC1730-6152-AE4C-BA5D-02DB565456D0}">
          <x14:formula1>
            <xm:f>Functions!$Z$17:$Z$20</xm:f>
          </x14:formula1>
          <xm:sqref>L23</xm:sqref>
        </x14:dataValidation>
        <x14:dataValidation type="list" allowBlank="1" xr:uid="{00000000-0002-0000-0000-000007000000}">
          <x14:formula1>
            <xm:f>Functions!$Q$3:$Q$53</xm:f>
          </x14:formula1>
          <xm:sqref>B14:I14 B12</xm:sqref>
        </x14:dataValidation>
        <x14:dataValidation type="list" allowBlank="1" xr:uid="{00000000-0002-0000-0000-000005000000}">
          <x14:formula1>
            <xm:f>Functions!$S$3:$S$7</xm:f>
          </x14:formula1>
          <xm:sqref>B15:I16</xm:sqref>
        </x14:dataValidation>
        <x14:dataValidation type="list" allowBlank="1" xr:uid="{00000000-0002-0000-0000-000008000000}">
          <x14:formula1>
            <xm:f>Functions!$U$3:$U$16</xm:f>
          </x14:formula1>
          <xm:sqref>J15:K16</xm:sqref>
        </x14:dataValidation>
        <x14:dataValidation type="list" allowBlank="1" showInputMessage="1" showErrorMessage="1" xr:uid="{7FAAA8EB-976F-F04B-BFCF-6811040138C1}">
          <x14:formula1>
            <xm:f>Functions!$V$11:$V$12</xm:f>
          </x14:formula1>
          <xm:sqref>L24:L27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3"/>
      <c r="F1" s="273"/>
      <c r="G1" s="273"/>
      <c r="H1" s="35"/>
    </row>
    <row r="2" spans="2:18" ht="24" x14ac:dyDescent="0.25">
      <c r="B2"/>
      <c r="C2" s="10"/>
      <c r="D2"/>
      <c r="E2" s="273"/>
      <c r="F2" s="273"/>
      <c r="G2" s="273"/>
      <c r="H2" s="35"/>
    </row>
    <row r="3" spans="2:18" ht="24" x14ac:dyDescent="0.25">
      <c r="B3"/>
      <c r="C3" s="10"/>
      <c r="D3"/>
      <c r="E3" s="273"/>
      <c r="F3" s="273"/>
      <c r="G3" s="273"/>
      <c r="H3" s="35"/>
    </row>
    <row r="4" spans="2:18" ht="24" x14ac:dyDescent="0.25">
      <c r="B4"/>
      <c r="C4" s="10"/>
      <c r="D4"/>
      <c r="E4" s="273"/>
      <c r="F4" s="273"/>
      <c r="G4" s="273"/>
      <c r="H4" s="35"/>
    </row>
    <row r="5" spans="2:18" ht="24" x14ac:dyDescent="0.25">
      <c r="B5"/>
      <c r="C5" s="10"/>
      <c r="D5"/>
      <c r="E5" s="273"/>
      <c r="F5" s="273"/>
      <c r="G5" s="273"/>
      <c r="H5" s="35"/>
    </row>
    <row r="6" spans="2:18" ht="45" x14ac:dyDescent="0.6">
      <c r="B6" s="422" t="s">
        <v>3225</v>
      </c>
      <c r="C6" s="422"/>
      <c r="D6" s="422"/>
      <c r="E6" s="422"/>
      <c r="F6" s="422"/>
      <c r="G6" s="422"/>
      <c r="H6" s="422"/>
      <c r="I6" s="409" t="s">
        <v>3162</v>
      </c>
      <c r="J6" s="409"/>
      <c r="K6" s="409"/>
      <c r="L6" s="409"/>
      <c r="M6" s="409"/>
    </row>
    <row r="7" spans="2:18" ht="25" customHeight="1" thickBot="1" x14ac:dyDescent="0.3">
      <c r="B7" s="475" t="s">
        <v>1482</v>
      </c>
      <c r="C7" s="475"/>
      <c r="D7" s="475"/>
      <c r="E7" s="475"/>
      <c r="F7" s="475"/>
      <c r="G7" s="475"/>
      <c r="H7" s="475"/>
      <c r="I7" s="404" t="s">
        <v>3183</v>
      </c>
      <c r="J7" s="405"/>
      <c r="K7" s="405"/>
      <c r="L7" s="405"/>
      <c r="M7" s="405"/>
    </row>
    <row r="8" spans="2:18" ht="24" customHeight="1" x14ac:dyDescent="0.25">
      <c r="B8" s="421" t="s">
        <v>1470</v>
      </c>
      <c r="C8" s="421"/>
      <c r="D8" s="421"/>
      <c r="E8" s="421"/>
      <c r="F8" s="421"/>
      <c r="G8" s="177">
        <f>IF(Emulsion&lt;&gt;"",Emulsion,#REF!)</f>
        <v>25</v>
      </c>
      <c r="H8" s="36" t="s">
        <v>0</v>
      </c>
      <c r="I8" s="406" t="s">
        <v>3197</v>
      </c>
      <c r="J8" s="406"/>
      <c r="K8" s="406"/>
      <c r="L8" s="406" t="s">
        <v>3066</v>
      </c>
      <c r="M8" s="406"/>
    </row>
    <row r="9" spans="2:18" x14ac:dyDescent="0.25">
      <c r="B9" s="476" t="s">
        <v>115</v>
      </c>
      <c r="C9" s="477"/>
      <c r="D9" s="478"/>
      <c r="E9" s="42" t="s">
        <v>3072</v>
      </c>
      <c r="F9" s="270">
        <f>IF(G9&lt;&gt;0,G9/$G$8,0)</f>
        <v>0.48780487804878048</v>
      </c>
      <c r="G9" s="38">
        <f>IF(B9="Chicken Skin",G13*20,G13*13)</f>
        <v>12.195121951219512</v>
      </c>
      <c r="H9" s="39" t="s">
        <v>0</v>
      </c>
      <c r="I9" s="507">
        <f>IF(FatReplacement="Vegetable Oil",0.9,IF(FatReplacement="Chicken Skin",1,""))</f>
        <v>1</v>
      </c>
      <c r="J9" s="507"/>
      <c r="K9" s="33" t="str">
        <f>IF(I9&lt;&gt;"","EUR","")</f>
        <v>EUR</v>
      </c>
      <c r="L9" s="27">
        <f>IF(I9&lt;&gt;"",ROUND(I9*G9,2),"")</f>
        <v>12.2</v>
      </c>
      <c r="M9" s="28" t="str">
        <f>IF(L9&lt;&gt;"","EUR","")</f>
        <v>EUR</v>
      </c>
    </row>
    <row r="10" spans="2:18" x14ac:dyDescent="0.25">
      <c r="B10" s="402" t="s">
        <v>1477</v>
      </c>
      <c r="C10" s="402"/>
      <c r="D10" s="402"/>
      <c r="E10" s="37"/>
      <c r="F10" s="270">
        <f>IF(G10&lt;&gt;0,G10/$G$8,0)</f>
        <v>0.48780487804878048</v>
      </c>
      <c r="G10" s="38">
        <f>G9</f>
        <v>12.195121951219512</v>
      </c>
      <c r="H10" s="171" t="s">
        <v>0</v>
      </c>
      <c r="I10" s="507">
        <v>0.01</v>
      </c>
      <c r="J10" s="507"/>
      <c r="K10" s="33" t="str">
        <f>IF(I10&lt;&gt;"","EUR","")</f>
        <v>EUR</v>
      </c>
      <c r="L10" s="27">
        <f>IF(I10&lt;&gt;"",ROUND(I10*G10,2),"")</f>
        <v>0.12</v>
      </c>
      <c r="M10" s="28" t="str">
        <f>IF(L10&lt;&gt;"","EUR","")</f>
        <v>EUR</v>
      </c>
    </row>
    <row r="11" spans="2:18" s="7" customFormat="1" ht="25" customHeight="1" x14ac:dyDescent="0.2">
      <c r="B11" s="508" t="s">
        <v>1489</v>
      </c>
      <c r="C11" s="508"/>
      <c r="D11" s="508"/>
      <c r="E11" s="508"/>
      <c r="F11" s="195"/>
      <c r="G11" s="196">
        <f>SUM(G9:G10)</f>
        <v>24.390243902439025</v>
      </c>
      <c r="H11" s="197" t="s">
        <v>0</v>
      </c>
      <c r="I11" s="469" t="str">
        <f>IF(L11&lt;&gt;0,"ø "&amp;ROUND(L11/SUM(G9:G10),3),0)</f>
        <v>ø 0,505</v>
      </c>
      <c r="J11" s="469"/>
      <c r="K11" s="162" t="s">
        <v>3170</v>
      </c>
      <c r="L11" s="163">
        <f>SUM(L9:L10)</f>
        <v>12.319999999999999</v>
      </c>
      <c r="M11" s="162" t="str">
        <f>M13</f>
        <v>EUR</v>
      </c>
    </row>
    <row r="12" spans="2:18" ht="25" customHeight="1" x14ac:dyDescent="0.25">
      <c r="B12" s="198" t="s">
        <v>35</v>
      </c>
      <c r="C12" s="199" t="s">
        <v>45</v>
      </c>
      <c r="D12" s="414" t="s">
        <v>3171</v>
      </c>
      <c r="E12" s="414"/>
      <c r="F12" s="474" t="s">
        <v>93</v>
      </c>
      <c r="G12" s="474"/>
      <c r="H12" s="474"/>
      <c r="I12" s="398" t="s">
        <v>3196</v>
      </c>
      <c r="J12" s="398"/>
      <c r="K12" s="398"/>
      <c r="L12" s="472" t="s">
        <v>3066</v>
      </c>
      <c r="M12" s="472"/>
    </row>
    <row r="13" spans="2:18" ht="30" customHeight="1" thickBot="1" x14ac:dyDescent="0.3">
      <c r="B13" s="186">
        <v>11026</v>
      </c>
      <c r="C13" s="178" t="str">
        <f>IF(ISNA(VLOOKUP(B13,AllData,2,0)),"",HYPERLINK(VLOOKUP(B13,AllData,7,0),"📌"))</f>
        <v>📌</v>
      </c>
      <c r="D13" s="171" t="str">
        <f>IF(ISNA(VLOOKUP(B13,AllData,2,0)),"",VLOOKUP(B13,AllData,2,0))</f>
        <v>AGAGEL® 600</v>
      </c>
      <c r="E13" s="187"/>
      <c r="F13" s="188">
        <v>1.5E-3</v>
      </c>
      <c r="G13" s="38">
        <f>IF(B9="Chicken Skin",G8/41,G8/27)</f>
        <v>0.6097560975609756</v>
      </c>
      <c r="H13" s="179" t="str">
        <f t="shared" ref="H13" si="0">IF(G13&lt;&gt;"","kg","")</f>
        <v>kg</v>
      </c>
      <c r="I13" s="501">
        <v>9.4</v>
      </c>
      <c r="J13" s="501"/>
      <c r="K13" s="33" t="str">
        <f>IF(I13&lt;&gt;"","EUR","")</f>
        <v>EUR</v>
      </c>
      <c r="L13" s="27">
        <f>IF(I13&lt;&gt;"",ROUND(I13*G13,2),"")</f>
        <v>5.73</v>
      </c>
      <c r="M13" s="28" t="str">
        <f>IF(L13&lt;&gt;"","EUR","")</f>
        <v>EUR</v>
      </c>
    </row>
    <row r="14" spans="2:18" ht="35" customHeight="1" thickBot="1" x14ac:dyDescent="0.3">
      <c r="B14" s="399" t="s">
        <v>3074</v>
      </c>
      <c r="C14" s="399"/>
      <c r="D14" s="399"/>
      <c r="E14" s="399"/>
      <c r="F14" s="397">
        <f>ROUND(SUM(G9:G10,G13),2)</f>
        <v>25</v>
      </c>
      <c r="G14" s="397"/>
      <c r="H14" s="180" t="s">
        <v>0</v>
      </c>
      <c r="I14" s="502">
        <f>IF(L14&lt;&gt;0,L14/G8,"0,00")</f>
        <v>0.72199999999999986</v>
      </c>
      <c r="J14" s="503"/>
      <c r="K14" s="307" t="str">
        <f>"€ / kg"</f>
        <v>€ / kg</v>
      </c>
      <c r="L14" s="308">
        <f>SUM(L11,L13)</f>
        <v>18.049999999999997</v>
      </c>
      <c r="M14" s="309" t="str">
        <f>IF(L14&lt;&gt;"","EUR","")</f>
        <v>EUR</v>
      </c>
    </row>
    <row r="15" spans="2:18" customFormat="1" ht="10" customHeight="1" x14ac:dyDescent="0.2">
      <c r="B15" s="181"/>
      <c r="C15" s="181"/>
      <c r="D15" s="181"/>
      <c r="E15" s="181"/>
      <c r="F15" s="181"/>
      <c r="G15" s="181"/>
      <c r="H15" s="181"/>
      <c r="I15" s="200"/>
      <c r="J15" s="200"/>
      <c r="K15" s="201"/>
      <c r="L15" s="27"/>
      <c r="M15" s="28"/>
      <c r="N15" s="202"/>
      <c r="O15" s="202"/>
      <c r="P15" s="202"/>
      <c r="Q15" s="202"/>
    </row>
    <row r="16" spans="2:18" s="30" customFormat="1" ht="26" customHeight="1" x14ac:dyDescent="0.25">
      <c r="B16" s="260" t="s">
        <v>35</v>
      </c>
      <c r="C16" s="206" t="s">
        <v>45</v>
      </c>
      <c r="D16" s="504" t="s">
        <v>3137</v>
      </c>
      <c r="E16" s="504"/>
      <c r="F16" s="311"/>
      <c r="G16" s="311"/>
      <c r="H16" s="311"/>
      <c r="I16" s="394" t="s">
        <v>3195</v>
      </c>
      <c r="J16" s="394"/>
      <c r="K16" s="394"/>
      <c r="L16" s="394"/>
      <c r="M16" s="394"/>
      <c r="N16" s="1"/>
      <c r="O16" s="1"/>
      <c r="P16" s="1"/>
      <c r="Q16" s="1"/>
      <c r="R16" s="1"/>
    </row>
    <row r="17" spans="2:17" customFormat="1" ht="21" customHeight="1" x14ac:dyDescent="0.25">
      <c r="B17" s="203">
        <v>89021</v>
      </c>
      <c r="C17" s="182" t="str">
        <f>IF(ISNA(VLOOKUP(B17,AllData,2,0)),"",HYPERLINK(VLOOKUP(B17,AllData,7,0),"📌"))</f>
        <v>📌</v>
      </c>
      <c r="D17" s="204" t="str">
        <f>IF(ISNA(VLOOKUP(B17,AllData,2,0)),"",VLOOKUP(B17,AllData,2,0))</f>
        <v>Charging Trolley 200 l</v>
      </c>
      <c r="E17" s="204"/>
      <c r="F17" s="204"/>
      <c r="H17" s="204"/>
      <c r="I17" s="468" t="s">
        <v>3176</v>
      </c>
      <c r="J17" s="468"/>
      <c r="K17" s="468"/>
      <c r="L17" s="468"/>
      <c r="M17" s="468"/>
      <c r="N17" s="1"/>
      <c r="O17" s="1"/>
      <c r="P17" s="1"/>
      <c r="Q17" s="1"/>
    </row>
    <row r="18" spans="2:17" customFormat="1" x14ac:dyDescent="0.25">
      <c r="B18" s="203">
        <v>81020</v>
      </c>
      <c r="C18" s="182" t="str">
        <f>IF(ISNA(VLOOKUP(B18,AllData,2,0)),"",HYPERLINK(VLOOKUP(B18,AllData,7,0),"📌"))</f>
        <v>📌</v>
      </c>
      <c r="D18" s="204" t="str">
        <f>IF(ISNA(VLOOKUP(B18,AllData,2,0)),"",VLOOKUP(B18,AllData,2,0))</f>
        <v>Meatbox E2</v>
      </c>
      <c r="E18" s="204"/>
      <c r="F18" s="204"/>
      <c r="H18" s="204"/>
      <c r="I18" s="468"/>
      <c r="J18" s="468"/>
      <c r="K18" s="468"/>
      <c r="L18" s="468"/>
      <c r="M18" s="468"/>
      <c r="N18" s="1"/>
      <c r="O18" s="1"/>
      <c r="P18" s="1"/>
      <c r="Q18" s="1"/>
    </row>
    <row r="19" spans="2:17" customFormat="1" x14ac:dyDescent="0.25">
      <c r="B19" s="207"/>
      <c r="C19" s="208"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53" t="str">
        <f>IF(FatReplacement="Vegetable Oil","1. Preparation",IF(FatReplacement="Chicken Skin","1. Mincing",""))</f>
        <v>1. Mincing</v>
      </c>
      <c r="C21" s="454"/>
      <c r="D21" s="454"/>
      <c r="E21" s="454"/>
      <c r="F21" s="454"/>
      <c r="G21" s="454"/>
      <c r="H21" s="455"/>
      <c r="I21" s="468"/>
      <c r="J21" s="468"/>
      <c r="K21" s="468"/>
      <c r="L21" s="468"/>
      <c r="M21" s="468"/>
    </row>
    <row r="22" spans="2:17" customFormat="1" ht="25" customHeight="1" thickBot="1" x14ac:dyDescent="0.25">
      <c r="B22" s="291" t="str">
        <f>IF(FatReplacement="Chicken Skin",Functions!AD3,Functions!AG3)</f>
        <v>-</v>
      </c>
      <c r="C22" s="431" t="str">
        <f>IF(FatReplacement="Chicken Skin",Functions!AE3,IF(FatReplacement="Vegetable Oil",Functions!AH3,""))</f>
        <v>Mince the Chicken Skin though a 3mm plate and place into Bowl Cutter.</v>
      </c>
      <c r="D22" s="431"/>
      <c r="E22" s="431"/>
      <c r="F22" s="431"/>
      <c r="G22" s="431"/>
      <c r="H22" s="432"/>
      <c r="I22" s="468"/>
      <c r="J22" s="468"/>
      <c r="K22" s="468"/>
      <c r="L22" s="468"/>
      <c r="M22" s="468"/>
    </row>
    <row r="23" spans="2:17" customFormat="1" ht="10" customHeight="1" thickTop="1" thickBot="1" x14ac:dyDescent="0.25">
      <c r="B23" s="303"/>
      <c r="C23" s="304"/>
      <c r="D23" s="304"/>
      <c r="E23" s="304"/>
      <c r="F23" s="304"/>
      <c r="G23" s="304"/>
      <c r="H23" s="304"/>
      <c r="I23" s="468"/>
      <c r="J23" s="468"/>
      <c r="K23" s="468"/>
      <c r="L23" s="468"/>
      <c r="M23" s="468"/>
    </row>
    <row r="24" spans="2:17" customFormat="1" ht="25" thickTop="1" x14ac:dyDescent="0.2">
      <c r="B24" s="447" t="s">
        <v>3157</v>
      </c>
      <c r="C24" s="448"/>
      <c r="D24" s="448"/>
      <c r="E24" s="448"/>
      <c r="F24" s="448"/>
      <c r="G24" s="448"/>
      <c r="H24" s="505"/>
      <c r="I24" s="468"/>
      <c r="J24" s="468"/>
      <c r="K24" s="468"/>
      <c r="L24" s="468"/>
      <c r="M24" s="468"/>
    </row>
    <row r="25" spans="2:17" customFormat="1" ht="19" x14ac:dyDescent="0.2">
      <c r="B25" s="283" t="str">
        <f>IF(FatReplacement="Chicken Skin",Functions!AD4,Functions!AG4)</f>
        <v>-</v>
      </c>
      <c r="C25" s="458" t="str">
        <f>IF(FatReplacement="Chicken Skin",Functions!AE4,IF(FatReplacement="Vegetable Oil",Functions!AH4,""))</f>
        <v>Run the Bowl Chopper for approx. 10 min at 2500-3000 RPM.</v>
      </c>
      <c r="D25" s="458"/>
      <c r="E25" s="458"/>
      <c r="F25" s="458"/>
      <c r="G25" s="458"/>
      <c r="H25" s="459"/>
      <c r="I25" s="468"/>
      <c r="J25" s="468"/>
      <c r="K25" s="468"/>
      <c r="L25" s="468"/>
      <c r="M25" s="468"/>
    </row>
    <row r="26" spans="2:17" customFormat="1" ht="19" x14ac:dyDescent="0.2">
      <c r="B26" s="283" t="str">
        <f>IF(FatReplacement="Chicken Skin",Functions!AD5,Functions!AG5)</f>
        <v>-</v>
      </c>
      <c r="C26" s="458" t="str">
        <f>IF(FatReplacement="Chicken Skin",Functions!AE5,IF(FatReplacement="Vegetable Oil",Functions!AH5,""))</f>
        <v>Add the Flaked Ice and run for another 10-15 turns at 3000 RPM.</v>
      </c>
      <c r="D26" s="458"/>
      <c r="E26" s="458"/>
      <c r="F26" s="458"/>
      <c r="G26" s="458"/>
      <c r="H26" s="459"/>
      <c r="I26" s="205"/>
      <c r="J26" s="205"/>
      <c r="K26" s="205"/>
      <c r="L26" s="205"/>
      <c r="M26" s="205"/>
    </row>
    <row r="27" spans="2:17" customFormat="1" ht="19" customHeight="1" x14ac:dyDescent="0.25">
      <c r="B27" s="283" t="str">
        <f>IF(FatReplacement="Chicken Skin",Functions!AD6,Functions!AG6)</f>
        <v>-</v>
      </c>
      <c r="C27" s="458" t="str">
        <f>IF(FatReplacement="Chicken Skin",Functions!AE6,IF(FatReplacement="Vegetable Oil",Functions!AH6,""))</f>
        <v>Add the AGAGEL® 600 slowly whilst chopping.</v>
      </c>
      <c r="D27" s="458"/>
      <c r="E27" s="458"/>
      <c r="F27" s="458"/>
      <c r="G27" s="458"/>
      <c r="H27" s="459"/>
      <c r="I27" s="1"/>
      <c r="J27" s="1"/>
      <c r="K27" s="1"/>
      <c r="L27" s="1"/>
      <c r="M27" s="1"/>
    </row>
    <row r="28" spans="2:17" customFormat="1" ht="29" customHeight="1" thickBot="1" x14ac:dyDescent="0.3">
      <c r="B28" s="305"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2"/>
      <c r="C29" s="306"/>
      <c r="D29" s="306"/>
      <c r="E29" s="306"/>
      <c r="F29" s="306"/>
      <c r="G29" s="306"/>
      <c r="H29" s="306"/>
    </row>
    <row r="30" spans="2:17" customFormat="1" ht="25" thickTop="1" x14ac:dyDescent="0.2">
      <c r="B30" s="453" t="s">
        <v>3159</v>
      </c>
      <c r="C30" s="454"/>
      <c r="D30" s="454"/>
      <c r="E30" s="454"/>
      <c r="F30" s="454"/>
      <c r="G30" s="454"/>
      <c r="H30" s="455"/>
      <c r="I30" s="205"/>
      <c r="J30" s="205"/>
      <c r="K30" s="205"/>
      <c r="L30" s="205"/>
      <c r="M30" s="205"/>
    </row>
    <row r="31" spans="2:17" ht="19" customHeight="1" x14ac:dyDescent="0.25">
      <c r="B31" s="290" t="str">
        <f>IF(FatReplacement="Chicken Skin",Functions!AD8,Functions!AG8)</f>
        <v>-</v>
      </c>
      <c r="C31" s="449" t="str">
        <f>IF(FatReplacement="Chicken Skin",Functions!AE8,IF(FatReplacement="Vegetable Oil",Functions!AH8,""))</f>
        <v>Remove the Gel from the Bowl Chopper into trays or fi Sundries' E2 Meat Boxes.</v>
      </c>
      <c r="D31" s="449"/>
      <c r="E31" s="449"/>
      <c r="F31" s="449"/>
      <c r="G31" s="449"/>
      <c r="H31" s="450"/>
    </row>
    <row r="32" spans="2:17" ht="19" customHeight="1" x14ac:dyDescent="0.25">
      <c r="B32" s="290" t="str">
        <f>IF(FatReplacement="Chicken Skin",Functions!AD9,Functions!AG9)</f>
        <v>-</v>
      </c>
      <c r="C32" s="449" t="str">
        <f>IF(FatReplacement="Chicken Skin",Functions!AE9,IF(FatReplacement="Vegetable Oil",Functions!AH9,""))</f>
        <v>Chill at 4 °C and allow to rest and stabilize overnight.</v>
      </c>
      <c r="D32" s="449"/>
      <c r="E32" s="449"/>
      <c r="F32" s="449"/>
      <c r="G32" s="449"/>
      <c r="H32" s="450"/>
    </row>
    <row r="33" spans="2:8" ht="25" customHeight="1" x14ac:dyDescent="0.25">
      <c r="B33" s="290" t="str">
        <f>IF(FatReplacement="Chicken Skin",Functions!AD10,Functions!AG10)</f>
        <v>-</v>
      </c>
      <c r="C33" s="449" t="str">
        <f>IF(FatReplacement="Chicken Skin",Functions!AE10,IF(FatReplacement="Vegetable Oil",Functions!AH10,""))</f>
        <v>Target result: A firm and solid Gel.</v>
      </c>
      <c r="D33" s="449"/>
      <c r="E33" s="449"/>
      <c r="F33" s="449"/>
      <c r="G33" s="449"/>
      <c r="H33" s="450"/>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9"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4"/>
      <c r="Q1" s="265"/>
      <c r="R1" s="265"/>
      <c r="S1" s="265"/>
      <c r="T1" s="265"/>
      <c r="U1" s="265"/>
      <c r="V1" s="265"/>
      <c r="W1" s="266"/>
      <c r="X1" s="265"/>
      <c r="Y1" s="265"/>
      <c r="Z1" s="265"/>
      <c r="AA1" s="267"/>
      <c r="AB1" s="267"/>
      <c r="AC1" s="267"/>
      <c r="AD1" s="267"/>
      <c r="AE1" s="267"/>
      <c r="AF1" s="267"/>
      <c r="AG1" s="267"/>
      <c r="AH1" s="267"/>
      <c r="AI1" s="267"/>
      <c r="AJ1" s="267"/>
      <c r="AK1" s="267"/>
      <c r="AL1" s="539" t="s">
        <v>3125</v>
      </c>
      <c r="AM1" s="540"/>
      <c r="AN1" s="540"/>
      <c r="AO1" s="540"/>
      <c r="AP1" s="540"/>
      <c r="AQ1" s="540"/>
      <c r="AR1" s="540"/>
      <c r="AS1" s="540"/>
      <c r="AT1" s="540"/>
      <c r="AU1" s="540"/>
      <c r="AV1" s="540"/>
      <c r="AW1" s="540"/>
      <c r="AX1" s="540"/>
      <c r="AY1" s="540"/>
      <c r="AZ1" s="540"/>
      <c r="BA1" s="540"/>
      <c r="BB1" s="540"/>
      <c r="BC1" s="541"/>
      <c r="BD1" s="262"/>
      <c r="BE1" s="539" t="s">
        <v>3114</v>
      </c>
      <c r="BF1" s="540"/>
      <c r="BG1" s="540"/>
      <c r="BH1" s="540"/>
      <c r="BI1" s="540"/>
      <c r="BJ1" s="540"/>
      <c r="BK1" s="540"/>
      <c r="BL1" s="540"/>
      <c r="BM1" s="540"/>
      <c r="BN1" s="540"/>
      <c r="BO1" s="540"/>
      <c r="BP1" s="540"/>
      <c r="BQ1" s="541"/>
      <c r="BR1" s="261"/>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1" t="s">
        <v>1533</v>
      </c>
      <c r="H2" s="9"/>
      <c r="I2" s="4"/>
      <c r="J2" s="543" t="s">
        <v>65</v>
      </c>
      <c r="K2" s="543"/>
      <c r="L2" s="543"/>
      <c r="M2" s="543"/>
      <c r="N2" s="543"/>
      <c r="O2" s="543"/>
      <c r="P2" s="214"/>
      <c r="Q2" s="250" t="s">
        <v>67</v>
      </c>
      <c r="R2" s="250" t="s">
        <v>141</v>
      </c>
      <c r="S2" s="250" t="s">
        <v>91</v>
      </c>
      <c r="T2" s="250" t="s">
        <v>150</v>
      </c>
      <c r="U2" s="250" t="s">
        <v>140</v>
      </c>
      <c r="V2" s="250" t="s">
        <v>151</v>
      </c>
      <c r="W2" s="250" t="s">
        <v>3128</v>
      </c>
      <c r="X2" s="251" t="s">
        <v>3126</v>
      </c>
      <c r="Y2" s="164" t="s">
        <v>1471</v>
      </c>
      <c r="Z2" s="256" t="s">
        <v>3068</v>
      </c>
      <c r="AA2" s="250" t="s">
        <v>3071</v>
      </c>
      <c r="AB2" s="164" t="s">
        <v>171</v>
      </c>
      <c r="AC2" s="164"/>
      <c r="AD2" s="66" t="s">
        <v>1478</v>
      </c>
      <c r="AE2" s="66" t="s">
        <v>1491</v>
      </c>
      <c r="AF2" s="66" t="s">
        <v>1479</v>
      </c>
      <c r="AG2" s="66" t="s">
        <v>1474</v>
      </c>
      <c r="AH2" s="66" t="s">
        <v>1492</v>
      </c>
      <c r="AI2" s="66" t="s">
        <v>1480</v>
      </c>
      <c r="AJ2" s="66" t="s">
        <v>1481</v>
      </c>
      <c r="AK2" s="66"/>
      <c r="AL2" s="215" t="s">
        <v>3090</v>
      </c>
      <c r="AM2" s="216" t="s">
        <v>1497</v>
      </c>
      <c r="AN2" s="217" t="s">
        <v>1498</v>
      </c>
      <c r="AO2" s="218" t="s">
        <v>3080</v>
      </c>
      <c r="AP2" s="217" t="s">
        <v>3077</v>
      </c>
      <c r="AQ2" s="217" t="s">
        <v>3078</v>
      </c>
      <c r="AR2" s="217" t="s">
        <v>3079</v>
      </c>
      <c r="AS2" s="217" t="s">
        <v>3081</v>
      </c>
      <c r="AT2" s="217" t="s">
        <v>3082</v>
      </c>
      <c r="AU2" s="217" t="s">
        <v>3083</v>
      </c>
      <c r="AV2" s="217" t="s">
        <v>3108</v>
      </c>
      <c r="AW2" s="217" t="s">
        <v>3109</v>
      </c>
      <c r="AX2" s="217" t="s">
        <v>3110</v>
      </c>
      <c r="AY2" s="217" t="s">
        <v>3111</v>
      </c>
      <c r="AZ2" s="217" t="s">
        <v>3084</v>
      </c>
      <c r="BA2" s="217" t="s">
        <v>3085</v>
      </c>
      <c r="BB2" s="217" t="s">
        <v>3086</v>
      </c>
      <c r="BC2" s="217" t="s">
        <v>3087</v>
      </c>
      <c r="BD2" s="213"/>
      <c r="BE2" s="239" t="s">
        <v>3090</v>
      </c>
      <c r="BF2" s="240" t="s">
        <v>1497</v>
      </c>
      <c r="BG2" s="231" t="s">
        <v>3112</v>
      </c>
      <c r="BH2" s="217" t="s">
        <v>3113</v>
      </c>
      <c r="BI2" s="217" t="s">
        <v>3122</v>
      </c>
      <c r="BJ2" s="217" t="s">
        <v>3123</v>
      </c>
      <c r="BK2" s="217" t="s">
        <v>3124</v>
      </c>
      <c r="BL2" s="217" t="s">
        <v>3088</v>
      </c>
      <c r="BM2" s="217" t="s">
        <v>3089</v>
      </c>
      <c r="BN2" s="217" t="s">
        <v>3118</v>
      </c>
      <c r="BO2" s="217" t="s">
        <v>3119</v>
      </c>
      <c r="BP2" s="217" t="s">
        <v>3120</v>
      </c>
      <c r="BQ2" s="217" t="s">
        <v>3121</v>
      </c>
      <c r="BR2" s="213"/>
      <c r="BS2" s="239" t="s">
        <v>3090</v>
      </c>
      <c r="BT2" s="240" t="s">
        <v>1497</v>
      </c>
      <c r="BU2" s="215" t="s">
        <v>3167</v>
      </c>
      <c r="BV2" s="215" t="s">
        <v>3168</v>
      </c>
      <c r="BW2" s="215" t="s">
        <v>1498</v>
      </c>
      <c r="BX2" s="215" t="s">
        <v>3163</v>
      </c>
      <c r="BY2" s="215" t="s">
        <v>3164</v>
      </c>
      <c r="BZ2" s="215" t="s">
        <v>3165</v>
      </c>
      <c r="CA2" s="215" t="s">
        <v>3166</v>
      </c>
      <c r="CB2" s="231" t="s">
        <v>3091</v>
      </c>
      <c r="CC2" s="217" t="s">
        <v>3092</v>
      </c>
      <c r="CD2" s="217" t="s">
        <v>3093</v>
      </c>
      <c r="CE2" s="217" t="s">
        <v>3094</v>
      </c>
      <c r="CF2" s="217" t="s">
        <v>3095</v>
      </c>
      <c r="CG2" s="217" t="s">
        <v>3096</v>
      </c>
      <c r="CH2" s="217" t="s">
        <v>3097</v>
      </c>
      <c r="CI2" s="217" t="s">
        <v>3098</v>
      </c>
      <c r="CJ2" s="217" t="s">
        <v>3099</v>
      </c>
      <c r="CK2" s="217" t="s">
        <v>3100</v>
      </c>
      <c r="CL2" s="217" t="s">
        <v>3101</v>
      </c>
      <c r="CM2" s="217" t="s">
        <v>3102</v>
      </c>
      <c r="CN2" s="217" t="s">
        <v>3103</v>
      </c>
      <c r="CO2" s="217" t="s">
        <v>3104</v>
      </c>
      <c r="CP2" s="217" t="s">
        <v>3105</v>
      </c>
      <c r="CQ2" s="217" t="s">
        <v>3106</v>
      </c>
    </row>
    <row r="3" spans="1:95" ht="48" customHeight="1" thickTop="1" thickBot="1" x14ac:dyDescent="0.3">
      <c r="A3" s="55">
        <v>10005</v>
      </c>
      <c r="B3" s="73" t="s">
        <v>8</v>
      </c>
      <c r="C3" s="56"/>
      <c r="D3" s="57">
        <v>14.25</v>
      </c>
      <c r="E3" s="58">
        <v>1</v>
      </c>
      <c r="F3" s="59" t="s">
        <v>0</v>
      </c>
      <c r="G3" s="331" t="s">
        <v>1534</v>
      </c>
      <c r="H3" s="9"/>
      <c r="I3" s="4"/>
      <c r="J3" s="79" t="s">
        <v>74</v>
      </c>
      <c r="K3" s="79" t="s">
        <v>75</v>
      </c>
      <c r="L3" s="79" t="s">
        <v>66</v>
      </c>
      <c r="M3" s="79" t="s">
        <v>67</v>
      </c>
      <c r="N3" s="79" t="s">
        <v>68</v>
      </c>
      <c r="O3" s="79" t="s">
        <v>69</v>
      </c>
      <c r="P3" s="79"/>
      <c r="Q3" s="252" t="s">
        <v>132</v>
      </c>
      <c r="R3" s="252" t="s">
        <v>159</v>
      </c>
      <c r="S3" s="252" t="s">
        <v>5</v>
      </c>
      <c r="T3" s="252" t="s">
        <v>2</v>
      </c>
      <c r="U3" s="252" t="s">
        <v>152</v>
      </c>
      <c r="V3" s="252" t="s">
        <v>3223</v>
      </c>
      <c r="W3" s="252" t="s">
        <v>3129</v>
      </c>
      <c r="X3" s="253">
        <v>0.1</v>
      </c>
      <c r="Y3" s="253">
        <v>5.0000000000000001E-3</v>
      </c>
      <c r="Z3" s="257" t="s">
        <v>3115</v>
      </c>
      <c r="AA3" s="174">
        <v>2.0000000000000001E-4</v>
      </c>
      <c r="AB3" s="174">
        <v>0</v>
      </c>
      <c r="AC3" s="174"/>
      <c r="AD3" s="67" t="s">
        <v>3047</v>
      </c>
      <c r="AE3" s="68" t="s">
        <v>3219</v>
      </c>
      <c r="AF3" s="70"/>
      <c r="AG3" s="67" t="s">
        <v>3047</v>
      </c>
      <c r="AH3" s="68" t="s">
        <v>3161</v>
      </c>
      <c r="AI3" s="70"/>
      <c r="AJ3" s="69" t="s">
        <v>115</v>
      </c>
      <c r="AK3" s="69"/>
      <c r="AL3" s="219" t="s">
        <v>1499</v>
      </c>
      <c r="AM3" s="220" t="s">
        <v>1500</v>
      </c>
      <c r="AN3" s="221" t="s">
        <v>1501</v>
      </c>
      <c r="AO3" s="222">
        <v>0.1</v>
      </c>
      <c r="AP3" s="221">
        <v>0.15</v>
      </c>
      <c r="AQ3" s="221">
        <v>0.2</v>
      </c>
      <c r="AR3" s="221">
        <v>0.25</v>
      </c>
      <c r="AS3" s="221">
        <v>0.3</v>
      </c>
      <c r="AT3" s="221">
        <v>0.35</v>
      </c>
      <c r="AU3" s="221">
        <v>0.4</v>
      </c>
      <c r="AV3" s="221">
        <v>0.45</v>
      </c>
      <c r="AW3" s="221">
        <v>0.5</v>
      </c>
      <c r="AX3" s="221">
        <v>0.55000000000000004</v>
      </c>
      <c r="AY3" s="221">
        <v>0.6</v>
      </c>
      <c r="AZ3" s="221">
        <v>0.65</v>
      </c>
      <c r="BA3" s="221">
        <v>0.7</v>
      </c>
      <c r="BB3" s="221">
        <v>0.75</v>
      </c>
      <c r="BC3" s="221">
        <v>0.8</v>
      </c>
      <c r="BD3" s="213"/>
      <c r="BE3" s="241" t="s">
        <v>1499</v>
      </c>
      <c r="BF3" s="242" t="s">
        <v>1500</v>
      </c>
      <c r="BG3" s="232">
        <v>0.2</v>
      </c>
      <c r="BH3" s="221">
        <v>0.25</v>
      </c>
      <c r="BI3" s="221">
        <v>0.3</v>
      </c>
      <c r="BJ3" s="221">
        <v>0.35</v>
      </c>
      <c r="BK3" s="221">
        <v>0.4</v>
      </c>
      <c r="BL3" s="221">
        <v>0.45</v>
      </c>
      <c r="BM3" s="221">
        <v>0.5</v>
      </c>
      <c r="BN3" s="221">
        <v>0.55000000000000004</v>
      </c>
      <c r="BO3" s="221">
        <v>0.6</v>
      </c>
      <c r="BP3" s="221">
        <v>0.65</v>
      </c>
      <c r="BQ3" s="221">
        <v>0.7</v>
      </c>
      <c r="BR3" s="213"/>
      <c r="BS3" s="241" t="s">
        <v>1499</v>
      </c>
      <c r="BT3" s="242" t="s">
        <v>1500</v>
      </c>
      <c r="BU3" s="221">
        <v>0.4</v>
      </c>
      <c r="BV3" s="232">
        <v>0.45</v>
      </c>
      <c r="BW3" s="221">
        <v>0.5</v>
      </c>
      <c r="BX3" s="232">
        <v>0.55000000000000004</v>
      </c>
      <c r="BY3" s="221">
        <v>0.6</v>
      </c>
      <c r="BZ3" s="232">
        <v>0.65</v>
      </c>
      <c r="CA3" s="221">
        <v>0.7</v>
      </c>
      <c r="CB3" s="232">
        <v>0.75</v>
      </c>
      <c r="CC3" s="221">
        <v>0.8</v>
      </c>
      <c r="CD3" s="221">
        <v>0.85</v>
      </c>
      <c r="CE3" s="221">
        <v>0.9</v>
      </c>
      <c r="CF3" s="221">
        <v>0.95</v>
      </c>
      <c r="CG3" s="221">
        <v>1</v>
      </c>
      <c r="CH3" s="221">
        <v>1.05</v>
      </c>
      <c r="CI3" s="221">
        <v>1.1000000000000001</v>
      </c>
      <c r="CJ3" s="221">
        <v>1.1499999999999999</v>
      </c>
      <c r="CK3" s="221">
        <v>1.2</v>
      </c>
      <c r="CL3" s="221">
        <v>1.25</v>
      </c>
      <c r="CM3" s="221">
        <v>1.3</v>
      </c>
      <c r="CN3" s="221">
        <v>1.35</v>
      </c>
      <c r="CO3" s="221">
        <v>1.4</v>
      </c>
      <c r="CP3" s="221">
        <v>1.45</v>
      </c>
      <c r="CQ3" s="221">
        <v>1.5</v>
      </c>
    </row>
    <row r="4" spans="1:95" ht="48" customHeight="1" thickTop="1" thickBot="1" x14ac:dyDescent="0.3">
      <c r="A4" s="51">
        <v>10007</v>
      </c>
      <c r="B4" s="327" t="s">
        <v>172</v>
      </c>
      <c r="C4" s="329">
        <v>0.56799999999999995</v>
      </c>
      <c r="D4" s="61">
        <v>6.4</v>
      </c>
      <c r="E4" s="62">
        <v>1</v>
      </c>
      <c r="F4" s="63" t="s">
        <v>0</v>
      </c>
      <c r="G4" s="72" t="s">
        <v>1535</v>
      </c>
      <c r="H4" s="9"/>
      <c r="I4" s="4"/>
      <c r="J4" s="80">
        <v>11055</v>
      </c>
      <c r="K4" s="81" t="s">
        <v>38</v>
      </c>
      <c r="L4" s="82">
        <v>8</v>
      </c>
      <c r="M4" s="82">
        <v>8</v>
      </c>
      <c r="N4" s="82">
        <v>8</v>
      </c>
      <c r="O4" s="82">
        <v>8</v>
      </c>
      <c r="P4" s="82"/>
      <c r="Q4" s="252" t="s">
        <v>108</v>
      </c>
      <c r="R4" s="252" t="s">
        <v>94</v>
      </c>
      <c r="S4" s="252" t="s">
        <v>53</v>
      </c>
      <c r="T4" s="252" t="s">
        <v>10</v>
      </c>
      <c r="U4" s="252" t="s">
        <v>90</v>
      </c>
      <c r="V4" s="252" t="s">
        <v>3222</v>
      </c>
      <c r="W4" s="252" t="s">
        <v>3130</v>
      </c>
      <c r="X4" s="253">
        <v>0.15</v>
      </c>
      <c r="Y4" s="253">
        <v>6.0000000000000001E-3</v>
      </c>
      <c r="Z4" s="257" t="s">
        <v>3116</v>
      </c>
      <c r="AA4" s="174">
        <v>2.9999999999999997E-4</v>
      </c>
      <c r="AB4" s="174">
        <v>5.0000000000000001E-3</v>
      </c>
      <c r="AC4" s="174"/>
      <c r="AD4" s="67" t="s">
        <v>3047</v>
      </c>
      <c r="AE4" s="68" t="s">
        <v>1483</v>
      </c>
      <c r="AF4" s="70"/>
      <c r="AG4" s="67" t="s">
        <v>3047</v>
      </c>
      <c r="AH4" s="68" t="s">
        <v>1476</v>
      </c>
      <c r="AI4" s="70"/>
      <c r="AJ4" s="70" t="s">
        <v>2</v>
      </c>
      <c r="AK4" s="70"/>
      <c r="AL4" s="226">
        <v>11076</v>
      </c>
      <c r="AM4" s="227" t="s">
        <v>176</v>
      </c>
      <c r="AN4" s="228">
        <v>2.5000000000000001E-2</v>
      </c>
      <c r="AO4" s="229">
        <v>0.01</v>
      </c>
      <c r="AP4" s="228">
        <v>1.4999999999999999E-2</v>
      </c>
      <c r="AQ4" s="228">
        <v>0.02</v>
      </c>
      <c r="AR4" s="228">
        <v>2.5000000000000001E-2</v>
      </c>
      <c r="AS4" s="228">
        <v>0.03</v>
      </c>
      <c r="AT4" s="228"/>
      <c r="AU4" s="228"/>
      <c r="AV4" s="228"/>
      <c r="AW4" s="228"/>
      <c r="AX4" s="228"/>
      <c r="AY4" s="228"/>
      <c r="AZ4" s="228"/>
      <c r="BA4" s="228"/>
      <c r="BB4" s="228"/>
      <c r="BC4" s="228"/>
      <c r="BD4" s="212"/>
      <c r="BE4" s="243">
        <v>11076</v>
      </c>
      <c r="BF4" s="244" t="s">
        <v>176</v>
      </c>
      <c r="BG4" s="234">
        <v>0.01</v>
      </c>
      <c r="BH4" s="228">
        <v>1.4999999999999999E-2</v>
      </c>
      <c r="BI4" s="228">
        <v>0.02</v>
      </c>
      <c r="BJ4" s="228">
        <v>2.5000000000000001E-2</v>
      </c>
      <c r="BK4" s="228">
        <v>0.03</v>
      </c>
      <c r="BL4" s="228"/>
      <c r="BM4" s="228"/>
      <c r="BN4" s="228"/>
      <c r="BO4" s="228"/>
      <c r="BP4" s="228"/>
      <c r="BQ4" s="228"/>
      <c r="BR4" s="212"/>
      <c r="BS4" s="243">
        <v>11076</v>
      </c>
      <c r="BT4" s="244" t="s">
        <v>176</v>
      </c>
      <c r="BU4" s="274"/>
      <c r="BV4" s="274"/>
      <c r="BW4" s="274"/>
      <c r="BX4" s="274"/>
      <c r="BY4" s="274"/>
      <c r="BZ4" s="274"/>
      <c r="CA4" s="274"/>
      <c r="CB4" s="234"/>
      <c r="CC4" s="228"/>
      <c r="CD4" s="228"/>
      <c r="CE4" s="228"/>
      <c r="CF4" s="228"/>
      <c r="CG4" s="228"/>
      <c r="CH4" s="228"/>
      <c r="CI4" s="228"/>
      <c r="CJ4" s="228"/>
      <c r="CK4" s="228"/>
      <c r="CL4" s="228"/>
      <c r="CM4" s="228"/>
      <c r="CN4" s="228"/>
      <c r="CO4" s="228"/>
      <c r="CP4" s="228"/>
      <c r="CQ4" s="228"/>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2" t="s">
        <v>109</v>
      </c>
      <c r="R5" s="252" t="s">
        <v>95</v>
      </c>
      <c r="S5" s="252" t="s">
        <v>91</v>
      </c>
      <c r="T5" s="252" t="s">
        <v>18</v>
      </c>
      <c r="U5" s="252" t="s">
        <v>153</v>
      </c>
      <c r="V5" s="252" t="s">
        <v>3221</v>
      </c>
      <c r="W5" s="252" t="s">
        <v>3127</v>
      </c>
      <c r="X5" s="253">
        <v>0.2</v>
      </c>
      <c r="Y5" s="253">
        <v>7.0000000000000001E-3</v>
      </c>
      <c r="Z5" s="257" t="s">
        <v>67</v>
      </c>
      <c r="AA5" s="174">
        <v>4.0000000000000002E-4</v>
      </c>
      <c r="AB5" s="174">
        <v>0.01</v>
      </c>
      <c r="AC5" s="174"/>
      <c r="AD5" s="67" t="s">
        <v>3047</v>
      </c>
      <c r="AE5" s="68" t="s">
        <v>1484</v>
      </c>
      <c r="AF5" s="70"/>
      <c r="AG5" s="67" t="s">
        <v>3047</v>
      </c>
      <c r="AH5" s="68" t="s">
        <v>3150</v>
      </c>
      <c r="AI5" s="70"/>
      <c r="AJ5" s="70"/>
      <c r="AK5" s="70"/>
      <c r="AL5" s="223">
        <v>11176</v>
      </c>
      <c r="AM5" s="230" t="s">
        <v>177</v>
      </c>
      <c r="AN5" s="224">
        <v>0.01</v>
      </c>
      <c r="AO5" s="225">
        <v>2.5000000000000001E-3</v>
      </c>
      <c r="AP5" s="224">
        <v>5.0000000000000001E-3</v>
      </c>
      <c r="AQ5" s="224">
        <v>7.4999999999999997E-3</v>
      </c>
      <c r="AR5" s="224">
        <v>0.01</v>
      </c>
      <c r="AS5" s="224">
        <v>1.2500000000000001E-2</v>
      </c>
      <c r="AT5" s="224"/>
      <c r="AU5" s="224"/>
      <c r="AV5" s="224"/>
      <c r="AW5" s="224"/>
      <c r="AX5" s="224"/>
      <c r="AY5" s="224"/>
      <c r="AZ5" s="224"/>
      <c r="BA5" s="224"/>
      <c r="BB5" s="224"/>
      <c r="BC5" s="224"/>
      <c r="BD5" s="212"/>
      <c r="BE5" s="245">
        <v>11176</v>
      </c>
      <c r="BF5" s="246" t="s">
        <v>177</v>
      </c>
      <c r="BG5" s="233">
        <v>2.5000000000000001E-3</v>
      </c>
      <c r="BH5" s="224">
        <v>5.0000000000000001E-3</v>
      </c>
      <c r="BI5" s="224">
        <v>7.4999999999999997E-3</v>
      </c>
      <c r="BJ5" s="224">
        <v>0.01</v>
      </c>
      <c r="BK5" s="224">
        <v>1.2500000000000001E-2</v>
      </c>
      <c r="BL5" s="224"/>
      <c r="BM5" s="224"/>
      <c r="BN5" s="224"/>
      <c r="BO5" s="224"/>
      <c r="BP5" s="224"/>
      <c r="BQ5" s="224"/>
      <c r="BR5" s="212"/>
      <c r="BS5" s="245">
        <v>11176</v>
      </c>
      <c r="BT5" s="246" t="s">
        <v>177</v>
      </c>
      <c r="BU5" s="275"/>
      <c r="BV5" s="275"/>
      <c r="BW5" s="275"/>
      <c r="BX5" s="275"/>
      <c r="BY5" s="275"/>
      <c r="BZ5" s="275"/>
      <c r="CA5" s="275"/>
      <c r="CB5" s="233"/>
      <c r="CC5" s="224"/>
      <c r="CD5" s="224"/>
      <c r="CE5" s="224"/>
      <c r="CF5" s="224"/>
      <c r="CG5" s="224"/>
      <c r="CH5" s="224"/>
      <c r="CI5" s="224"/>
      <c r="CJ5" s="224"/>
      <c r="CK5" s="224"/>
      <c r="CL5" s="224"/>
      <c r="CM5" s="224"/>
      <c r="CN5" s="224"/>
      <c r="CO5" s="224"/>
      <c r="CP5" s="224"/>
      <c r="CQ5" s="224"/>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2" t="s">
        <v>110</v>
      </c>
      <c r="R6" s="252" t="s">
        <v>96</v>
      </c>
      <c r="S6" s="252" t="s">
        <v>63</v>
      </c>
      <c r="T6" s="252" t="s">
        <v>40</v>
      </c>
      <c r="U6" s="252" t="s">
        <v>86</v>
      </c>
      <c r="V6" s="252" t="s">
        <v>3215</v>
      </c>
      <c r="W6" s="252" t="s">
        <v>3220</v>
      </c>
      <c r="X6" s="253">
        <v>0.25</v>
      </c>
      <c r="Y6" s="253">
        <v>8.0000000000000002E-3</v>
      </c>
      <c r="Z6" s="257" t="s">
        <v>66</v>
      </c>
      <c r="AA6" s="174">
        <v>5.0000000000000001E-4</v>
      </c>
      <c r="AB6" s="174">
        <v>1.4999999999999999E-2</v>
      </c>
      <c r="AC6" s="174"/>
      <c r="AD6" s="67" t="s">
        <v>3047</v>
      </c>
      <c r="AE6" s="68" t="s">
        <v>1485</v>
      </c>
      <c r="AF6" s="70"/>
      <c r="AG6" s="67" t="s">
        <v>3158</v>
      </c>
      <c r="AH6" s="67" t="s">
        <v>186</v>
      </c>
      <c r="AI6" s="70"/>
      <c r="AJ6" s="70"/>
      <c r="AK6" s="70"/>
      <c r="AL6" s="226">
        <v>11152</v>
      </c>
      <c r="AM6" s="227" t="s">
        <v>180</v>
      </c>
      <c r="AN6" s="228">
        <v>1.7999999999999999E-2</v>
      </c>
      <c r="AO6" s="229">
        <v>1.7999999999999999E-2</v>
      </c>
      <c r="AP6" s="228">
        <v>1.7999999999999999E-2</v>
      </c>
      <c r="AQ6" s="228">
        <v>1.7999999999999999E-2</v>
      </c>
      <c r="AR6" s="228">
        <v>1.7999999999999999E-2</v>
      </c>
      <c r="AS6" s="228">
        <v>1.7999999999999999E-2</v>
      </c>
      <c r="AT6" s="228">
        <v>1.7999999999999999E-2</v>
      </c>
      <c r="AU6" s="228">
        <v>1.7999999999999999E-2</v>
      </c>
      <c r="AV6" s="228">
        <v>1.7999999999999999E-2</v>
      </c>
      <c r="AW6" s="228">
        <v>1.7999999999999999E-2</v>
      </c>
      <c r="AX6" s="228">
        <v>1.7999999999999999E-2</v>
      </c>
      <c r="AY6" s="228">
        <v>1.7999999999999999E-2</v>
      </c>
      <c r="AZ6" s="228">
        <v>1.7999999999999999E-2</v>
      </c>
      <c r="BA6" s="228">
        <v>1.7999999999999999E-2</v>
      </c>
      <c r="BB6" s="228">
        <v>1.7999999999999999E-2</v>
      </c>
      <c r="BC6" s="228">
        <v>1.7999999999999999E-2</v>
      </c>
      <c r="BD6" s="212"/>
      <c r="BE6" s="243">
        <v>11152</v>
      </c>
      <c r="BF6" s="244" t="s">
        <v>180</v>
      </c>
      <c r="BG6" s="234">
        <v>1.7999999999999999E-2</v>
      </c>
      <c r="BH6" s="228">
        <v>1.7999999999999999E-2</v>
      </c>
      <c r="BI6" s="228">
        <v>1.7999999999999999E-2</v>
      </c>
      <c r="BJ6" s="228">
        <v>1.7999999999999999E-2</v>
      </c>
      <c r="BK6" s="228">
        <v>1.7999999999999999E-2</v>
      </c>
      <c r="BL6" s="228">
        <v>1.7999999999999999E-2</v>
      </c>
      <c r="BM6" s="228">
        <v>1.7999999999999999E-2</v>
      </c>
      <c r="BN6" s="228">
        <v>1.7999999999999999E-2</v>
      </c>
      <c r="BO6" s="228">
        <v>1.7999999999999999E-2</v>
      </c>
      <c r="BP6" s="228">
        <v>1.7999999999999999E-2</v>
      </c>
      <c r="BQ6" s="228">
        <v>1.7999999999999999E-2</v>
      </c>
      <c r="BR6" s="212"/>
      <c r="BS6" s="243">
        <v>11152</v>
      </c>
      <c r="BT6" s="244" t="s">
        <v>180</v>
      </c>
      <c r="BU6" s="234">
        <v>1.7999999999999999E-2</v>
      </c>
      <c r="BV6" s="234">
        <v>1.7999999999999999E-2</v>
      </c>
      <c r="BW6" s="234">
        <v>1.7999999999999999E-2</v>
      </c>
      <c r="BX6" s="234">
        <v>1.7999999999999999E-2</v>
      </c>
      <c r="BY6" s="234">
        <v>1.7999999999999999E-2</v>
      </c>
      <c r="BZ6" s="234">
        <v>1.7999999999999999E-2</v>
      </c>
      <c r="CA6" s="234">
        <v>1.7999999999999999E-2</v>
      </c>
      <c r="CB6" s="234">
        <v>1.7999999999999999E-2</v>
      </c>
      <c r="CC6" s="228">
        <v>1.7999999999999999E-2</v>
      </c>
      <c r="CD6" s="228">
        <v>1.7999999999999999E-2</v>
      </c>
      <c r="CE6" s="228">
        <v>1.7999999999999999E-2</v>
      </c>
      <c r="CF6" s="228">
        <v>1.7999999999999999E-2</v>
      </c>
      <c r="CG6" s="228">
        <v>1.7999999999999999E-2</v>
      </c>
      <c r="CH6" s="228">
        <v>1.7999999999999999E-2</v>
      </c>
      <c r="CI6" s="228">
        <v>1.7999999999999999E-2</v>
      </c>
      <c r="CJ6" s="228">
        <v>1.7999999999999999E-2</v>
      </c>
      <c r="CK6" s="228">
        <v>1.7999999999999999E-2</v>
      </c>
      <c r="CL6" s="228">
        <v>1.7999999999999999E-2</v>
      </c>
      <c r="CM6" s="228">
        <v>1.7999999999999999E-2</v>
      </c>
      <c r="CN6" s="228">
        <v>1.7999999999999999E-2</v>
      </c>
      <c r="CO6" s="228">
        <v>1.7999999999999999E-2</v>
      </c>
      <c r="CP6" s="228">
        <v>1.7999999999999999E-2</v>
      </c>
      <c r="CQ6" s="228">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2" t="s">
        <v>111</v>
      </c>
      <c r="R7" s="252" t="s">
        <v>97</v>
      </c>
      <c r="S7" s="252" t="s">
        <v>85</v>
      </c>
      <c r="T7" s="252" t="s">
        <v>20</v>
      </c>
      <c r="U7" s="252" t="s">
        <v>87</v>
      </c>
      <c r="V7" s="252" t="s">
        <v>3224</v>
      </c>
      <c r="W7" s="252" t="s">
        <v>176</v>
      </c>
      <c r="X7" s="253">
        <v>0.3</v>
      </c>
      <c r="Y7" s="253">
        <v>8.9999999999999993E-3</v>
      </c>
      <c r="Z7" s="257" t="s">
        <v>69</v>
      </c>
      <c r="AA7" s="174">
        <v>5.9999999999999995E-4</v>
      </c>
      <c r="AB7" s="174">
        <v>0.02</v>
      </c>
      <c r="AC7" s="174"/>
      <c r="AD7" s="67" t="s">
        <v>3047</v>
      </c>
      <c r="AE7" s="68" t="s">
        <v>1486</v>
      </c>
      <c r="AF7" s="70"/>
      <c r="AG7" s="67" t="s">
        <v>186</v>
      </c>
      <c r="AH7" s="70" t="s">
        <v>186</v>
      </c>
      <c r="AI7" s="70"/>
      <c r="AJ7" s="70"/>
      <c r="AK7" s="70"/>
      <c r="AL7" s="226">
        <v>11066</v>
      </c>
      <c r="AM7" s="227" t="s">
        <v>367</v>
      </c>
      <c r="AN7" s="228">
        <v>3.6999999999999998E-2</v>
      </c>
      <c r="AO7" s="229">
        <v>3.6999999999999998E-2</v>
      </c>
      <c r="AP7" s="228">
        <v>3.6999999999999998E-2</v>
      </c>
      <c r="AQ7" s="228">
        <v>3.6999999999999998E-2</v>
      </c>
      <c r="AR7" s="228">
        <v>3.6999999999999998E-2</v>
      </c>
      <c r="AS7" s="228">
        <v>3.6999999999999998E-2</v>
      </c>
      <c r="AT7" s="228">
        <v>3.6999999999999998E-2</v>
      </c>
      <c r="AU7" s="228">
        <v>3.6999999999999998E-2</v>
      </c>
      <c r="AV7" s="228">
        <v>3.6999999999999998E-2</v>
      </c>
      <c r="AW7" s="228">
        <v>3.6999999999999998E-2</v>
      </c>
      <c r="AX7" s="228">
        <v>3.6999999999999998E-2</v>
      </c>
      <c r="AY7" s="228">
        <v>3.6999999999999998E-2</v>
      </c>
      <c r="AZ7" s="228">
        <v>3.6999999999999998E-2</v>
      </c>
      <c r="BA7" s="228">
        <v>3.6999999999999998E-2</v>
      </c>
      <c r="BB7" s="228">
        <v>3.6999999999999998E-2</v>
      </c>
      <c r="BC7" s="228">
        <v>3.6999999999999998E-2</v>
      </c>
      <c r="BD7" s="212"/>
      <c r="BE7" s="226">
        <v>11066</v>
      </c>
      <c r="BF7" s="227" t="s">
        <v>367</v>
      </c>
      <c r="BG7" s="228">
        <v>3.6999999999999998E-2</v>
      </c>
      <c r="BH7" s="228">
        <v>3.6999999999999998E-2</v>
      </c>
      <c r="BI7" s="228">
        <v>3.6999999999999998E-2</v>
      </c>
      <c r="BJ7" s="228">
        <v>3.6999999999999998E-2</v>
      </c>
      <c r="BK7" s="228">
        <v>3.6999999999999998E-2</v>
      </c>
      <c r="BL7" s="228">
        <v>3.6999999999999998E-2</v>
      </c>
      <c r="BM7" s="228">
        <v>3.6999999999999998E-2</v>
      </c>
      <c r="BN7" s="228">
        <v>3.6999999999999998E-2</v>
      </c>
      <c r="BO7" s="228">
        <v>3.6999999999999998E-2</v>
      </c>
      <c r="BP7" s="228">
        <v>3.6999999999999998E-2</v>
      </c>
      <c r="BQ7" s="228">
        <v>3.6999999999999998E-2</v>
      </c>
      <c r="BR7" s="212"/>
      <c r="BS7" s="226">
        <v>11066</v>
      </c>
      <c r="BT7" s="227" t="s">
        <v>367</v>
      </c>
      <c r="BU7" s="234">
        <v>3.6999999999999998E-2</v>
      </c>
      <c r="BV7" s="234">
        <v>3.6999999999999998E-2</v>
      </c>
      <c r="BW7" s="234">
        <v>3.6999999999999998E-2</v>
      </c>
      <c r="BX7" s="234">
        <v>3.6999999999999998E-2</v>
      </c>
      <c r="BY7" s="234">
        <v>3.6999999999999998E-2</v>
      </c>
      <c r="BZ7" s="234">
        <v>3.6999999999999998E-2</v>
      </c>
      <c r="CA7" s="234">
        <v>3.6999999999999998E-2</v>
      </c>
      <c r="CB7" s="234">
        <v>3.6999999999999998E-2</v>
      </c>
      <c r="CC7" s="228">
        <v>3.6999999999999998E-2</v>
      </c>
      <c r="CD7" s="228">
        <v>3.6999999999999998E-2</v>
      </c>
      <c r="CE7" s="228">
        <v>3.6999999999999998E-2</v>
      </c>
      <c r="CF7" s="228">
        <v>3.6999999999999998E-2</v>
      </c>
      <c r="CG7" s="228">
        <v>3.6999999999999998E-2</v>
      </c>
      <c r="CH7" s="228"/>
      <c r="CI7" s="228"/>
      <c r="CJ7" s="228"/>
      <c r="CK7" s="228"/>
      <c r="CL7" s="228"/>
      <c r="CM7" s="228"/>
      <c r="CN7" s="228"/>
      <c r="CO7" s="228"/>
      <c r="CP7" s="228"/>
      <c r="CQ7" s="228"/>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2" t="s">
        <v>133</v>
      </c>
      <c r="R8" s="252" t="s">
        <v>98</v>
      </c>
      <c r="S8" s="252" t="s">
        <v>1475</v>
      </c>
      <c r="T8" s="252" t="s">
        <v>41</v>
      </c>
      <c r="U8" s="252" t="s">
        <v>84</v>
      </c>
      <c r="V8" s="252"/>
      <c r="W8" s="252" t="s">
        <v>177</v>
      </c>
      <c r="X8" s="253">
        <v>0.35</v>
      </c>
      <c r="Y8" s="253">
        <v>0.01</v>
      </c>
      <c r="Z8" s="257" t="s">
        <v>3117</v>
      </c>
      <c r="AA8" s="174">
        <v>6.9999999999999999E-4</v>
      </c>
      <c r="AB8" s="174">
        <v>2.5000000000000001E-2</v>
      </c>
      <c r="AC8" s="174"/>
      <c r="AD8" s="67" t="s">
        <v>3047</v>
      </c>
      <c r="AE8" s="68" t="s">
        <v>1490</v>
      </c>
      <c r="AF8" s="70"/>
      <c r="AG8" s="67" t="s">
        <v>3047</v>
      </c>
      <c r="AH8" s="68" t="s">
        <v>1490</v>
      </c>
      <c r="AI8" s="70"/>
      <c r="AJ8" s="70"/>
      <c r="AK8" s="70"/>
      <c r="AL8" s="223">
        <v>11023</v>
      </c>
      <c r="AM8" s="230" t="s">
        <v>174</v>
      </c>
      <c r="AN8" s="224">
        <v>0.04</v>
      </c>
      <c r="AO8" s="225">
        <v>0.03</v>
      </c>
      <c r="AP8" s="224">
        <v>3.15E-2</v>
      </c>
      <c r="AQ8" s="224">
        <v>3.3000000000000002E-2</v>
      </c>
      <c r="AR8" s="224">
        <v>3.4500000000000003E-2</v>
      </c>
      <c r="AS8" s="224">
        <v>3.5999999999999997E-2</v>
      </c>
      <c r="AT8" s="224">
        <v>3.7499999999999999E-2</v>
      </c>
      <c r="AU8" s="224">
        <v>3.9E-2</v>
      </c>
      <c r="AV8" s="224">
        <v>0.04</v>
      </c>
      <c r="AW8" s="224">
        <v>0.04</v>
      </c>
      <c r="AX8" s="224">
        <v>0.04</v>
      </c>
      <c r="AY8" s="224">
        <v>0.04</v>
      </c>
      <c r="AZ8" s="224">
        <v>0.04</v>
      </c>
      <c r="BA8" s="224">
        <v>0.04</v>
      </c>
      <c r="BB8" s="224">
        <v>0.04</v>
      </c>
      <c r="BC8" s="224">
        <v>0.04</v>
      </c>
      <c r="BD8" s="212"/>
      <c r="BE8" s="245">
        <v>11023</v>
      </c>
      <c r="BF8" s="246" t="s">
        <v>174</v>
      </c>
      <c r="BG8" s="233">
        <v>0.02</v>
      </c>
      <c r="BH8" s="224">
        <v>0.02</v>
      </c>
      <c r="BI8" s="224">
        <v>0.02</v>
      </c>
      <c r="BJ8" s="224">
        <v>2.1999999999999999E-2</v>
      </c>
      <c r="BK8" s="224">
        <v>2.1999999999999999E-2</v>
      </c>
      <c r="BL8" s="224">
        <v>2.35E-2</v>
      </c>
      <c r="BM8" s="224">
        <v>2.5000000000000001E-2</v>
      </c>
      <c r="BN8" s="224">
        <v>2.6499999999999999E-2</v>
      </c>
      <c r="BO8" s="224">
        <v>2.8000000000000001E-2</v>
      </c>
      <c r="BP8" s="224">
        <v>0.03</v>
      </c>
      <c r="BQ8" s="224">
        <v>3.2000000000000001E-2</v>
      </c>
      <c r="BR8" s="212"/>
      <c r="BS8" s="245">
        <v>11023</v>
      </c>
      <c r="BT8" s="246" t="s">
        <v>174</v>
      </c>
      <c r="BU8" s="233">
        <v>0.04</v>
      </c>
      <c r="BV8" s="233">
        <v>0.04</v>
      </c>
      <c r="BW8" s="233">
        <v>0.04</v>
      </c>
      <c r="BX8" s="233">
        <v>0.04</v>
      </c>
      <c r="BY8" s="233">
        <v>0.04</v>
      </c>
      <c r="BZ8" s="233">
        <v>0.04</v>
      </c>
      <c r="CA8" s="233">
        <v>0.04</v>
      </c>
      <c r="CB8" s="233">
        <v>0.04</v>
      </c>
      <c r="CC8" s="224">
        <v>0.04</v>
      </c>
      <c r="CD8" s="224">
        <v>0.04</v>
      </c>
      <c r="CE8" s="224">
        <v>0.04</v>
      </c>
      <c r="CF8" s="224">
        <v>0.04</v>
      </c>
      <c r="CG8" s="224">
        <v>0.04</v>
      </c>
      <c r="CH8" s="224">
        <v>0.04</v>
      </c>
      <c r="CI8" s="224">
        <v>0.04</v>
      </c>
      <c r="CJ8" s="224">
        <v>0.04</v>
      </c>
      <c r="CK8" s="224">
        <v>0.04</v>
      </c>
      <c r="CL8" s="224">
        <v>0.04</v>
      </c>
      <c r="CM8" s="224">
        <v>0.04</v>
      </c>
      <c r="CN8" s="224">
        <v>0.04</v>
      </c>
      <c r="CO8" s="224">
        <v>0.04</v>
      </c>
      <c r="CP8" s="224">
        <v>0.04</v>
      </c>
      <c r="CQ8" s="224">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2" t="s">
        <v>134</v>
      </c>
      <c r="R9" s="252" t="s">
        <v>99</v>
      </c>
      <c r="S9" s="252" t="s">
        <v>154</v>
      </c>
      <c r="T9" s="252" t="s">
        <v>23</v>
      </c>
      <c r="U9" s="252" t="s">
        <v>88</v>
      </c>
      <c r="V9" s="252"/>
      <c r="W9" s="252" t="s">
        <v>180</v>
      </c>
      <c r="X9" s="253">
        <v>0.4</v>
      </c>
      <c r="Y9" s="253">
        <v>1.0999999999999999E-2</v>
      </c>
      <c r="Z9" s="257"/>
      <c r="AA9" s="174">
        <v>8.0000000000000004E-4</v>
      </c>
      <c r="AB9" s="174">
        <v>0.03</v>
      </c>
      <c r="AC9" s="174"/>
      <c r="AD9" s="67" t="s">
        <v>3047</v>
      </c>
      <c r="AE9" s="68" t="s">
        <v>3160</v>
      </c>
      <c r="AF9" s="70"/>
      <c r="AG9" s="67" t="s">
        <v>3047</v>
      </c>
      <c r="AH9" s="68" t="s">
        <v>3160</v>
      </c>
      <c r="AI9" s="70"/>
      <c r="AJ9" s="70"/>
      <c r="AK9" s="70"/>
      <c r="AL9" s="226">
        <v>11024</v>
      </c>
      <c r="AM9" s="227" t="s">
        <v>175</v>
      </c>
      <c r="AN9" s="228">
        <v>0.04</v>
      </c>
      <c r="AO9" s="229">
        <v>0.03</v>
      </c>
      <c r="AP9" s="228">
        <v>3.15E-2</v>
      </c>
      <c r="AQ9" s="228">
        <v>3.3000000000000002E-2</v>
      </c>
      <c r="AR9" s="228">
        <v>3.4500000000000003E-2</v>
      </c>
      <c r="AS9" s="228">
        <v>3.5999999999999997E-2</v>
      </c>
      <c r="AT9" s="228">
        <v>3.7499999999999999E-2</v>
      </c>
      <c r="AU9" s="228">
        <v>3.9E-2</v>
      </c>
      <c r="AV9" s="228">
        <v>0.04</v>
      </c>
      <c r="AW9" s="228">
        <v>0.04</v>
      </c>
      <c r="AX9" s="228">
        <v>0.04</v>
      </c>
      <c r="AY9" s="228">
        <v>0.04</v>
      </c>
      <c r="AZ9" s="228">
        <v>0.04</v>
      </c>
      <c r="BA9" s="228">
        <v>0.04</v>
      </c>
      <c r="BB9" s="228">
        <v>0.04</v>
      </c>
      <c r="BC9" s="228">
        <v>0.04</v>
      </c>
      <c r="BD9" s="212"/>
      <c r="BE9" s="243">
        <v>11024</v>
      </c>
      <c r="BF9" s="244" t="s">
        <v>175</v>
      </c>
      <c r="BG9" s="234">
        <v>0.02</v>
      </c>
      <c r="BH9" s="228">
        <v>0.02</v>
      </c>
      <c r="BI9" s="228">
        <v>0.02</v>
      </c>
      <c r="BJ9" s="228">
        <v>2.1999999999999999E-2</v>
      </c>
      <c r="BK9" s="228">
        <v>2.1999999999999999E-2</v>
      </c>
      <c r="BL9" s="228">
        <v>2.35E-2</v>
      </c>
      <c r="BM9" s="228">
        <v>2.5000000000000001E-2</v>
      </c>
      <c r="BN9" s="228">
        <v>2.6499999999999999E-2</v>
      </c>
      <c r="BO9" s="228">
        <v>2.8000000000000001E-2</v>
      </c>
      <c r="BP9" s="228">
        <v>0.03</v>
      </c>
      <c r="BQ9" s="228">
        <v>3.2000000000000001E-2</v>
      </c>
      <c r="BR9" s="212"/>
      <c r="BS9" s="243">
        <v>11024</v>
      </c>
      <c r="BT9" s="244" t="s">
        <v>175</v>
      </c>
      <c r="BU9" s="234">
        <v>0.04</v>
      </c>
      <c r="BV9" s="234">
        <v>0.04</v>
      </c>
      <c r="BW9" s="234">
        <v>0.04</v>
      </c>
      <c r="BX9" s="234">
        <v>0.04</v>
      </c>
      <c r="BY9" s="234">
        <v>0.04</v>
      </c>
      <c r="BZ9" s="234">
        <v>0.04</v>
      </c>
      <c r="CA9" s="234">
        <v>0.04</v>
      </c>
      <c r="CB9" s="234">
        <v>0.04</v>
      </c>
      <c r="CC9" s="228">
        <v>0.04</v>
      </c>
      <c r="CD9" s="228">
        <v>0.04</v>
      </c>
      <c r="CE9" s="228">
        <v>0.04</v>
      </c>
      <c r="CF9" s="228">
        <v>0.04</v>
      </c>
      <c r="CG9" s="228">
        <v>0.04</v>
      </c>
      <c r="CH9" s="228">
        <v>0.04</v>
      </c>
      <c r="CI9" s="228">
        <v>0.04</v>
      </c>
      <c r="CJ9" s="228">
        <v>0.04</v>
      </c>
      <c r="CK9" s="228">
        <v>0.04</v>
      </c>
      <c r="CL9" s="228">
        <v>0.04</v>
      </c>
      <c r="CM9" s="228">
        <v>0.04</v>
      </c>
      <c r="CN9" s="228">
        <v>0.04</v>
      </c>
      <c r="CO9" s="228">
        <v>0.04</v>
      </c>
      <c r="CP9" s="228">
        <v>0.04</v>
      </c>
      <c r="CQ9" s="228">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2" t="s">
        <v>165</v>
      </c>
      <c r="R10" s="252" t="s">
        <v>100</v>
      </c>
      <c r="S10" s="252" t="s">
        <v>182</v>
      </c>
      <c r="T10" s="252" t="s">
        <v>25</v>
      </c>
      <c r="U10" s="252" t="s">
        <v>166</v>
      </c>
      <c r="V10" s="252"/>
      <c r="W10" s="252" t="s">
        <v>367</v>
      </c>
      <c r="X10" s="253">
        <v>0.45</v>
      </c>
      <c r="Y10" s="253">
        <v>1.2E-2</v>
      </c>
      <c r="Z10" s="257"/>
      <c r="AA10" s="174">
        <v>8.9999999999999998E-4</v>
      </c>
      <c r="AB10" s="174"/>
      <c r="AC10" s="174"/>
      <c r="AD10" s="67" t="s">
        <v>3047</v>
      </c>
      <c r="AE10" s="70" t="s">
        <v>1487</v>
      </c>
      <c r="AF10" s="70"/>
      <c r="AG10" s="67" t="s">
        <v>3047</v>
      </c>
      <c r="AH10" s="70" t="s">
        <v>1488</v>
      </c>
      <c r="AI10" s="70"/>
      <c r="AJ10" s="70"/>
      <c r="AK10" s="70"/>
      <c r="AL10" s="223">
        <v>11016</v>
      </c>
      <c r="AM10" s="230" t="s">
        <v>344</v>
      </c>
      <c r="AN10" s="224">
        <v>0.04</v>
      </c>
      <c r="AO10" s="225">
        <v>0.03</v>
      </c>
      <c r="AP10" s="224">
        <v>3.15E-2</v>
      </c>
      <c r="AQ10" s="224">
        <v>3.3000000000000002E-2</v>
      </c>
      <c r="AR10" s="224">
        <v>3.4500000000000003E-2</v>
      </c>
      <c r="AS10" s="224">
        <v>3.5999999999999997E-2</v>
      </c>
      <c r="AT10" s="224">
        <v>3.7499999999999999E-2</v>
      </c>
      <c r="AU10" s="224">
        <v>3.9E-2</v>
      </c>
      <c r="AV10" s="224">
        <v>0.04</v>
      </c>
      <c r="AW10" s="224">
        <v>0.04</v>
      </c>
      <c r="AX10" s="224">
        <v>0.04</v>
      </c>
      <c r="AY10" s="224">
        <v>0.04</v>
      </c>
      <c r="AZ10" s="224">
        <v>0.04</v>
      </c>
      <c r="BA10" s="224">
        <v>0.04</v>
      </c>
      <c r="BB10" s="224">
        <v>0.04</v>
      </c>
      <c r="BC10" s="224">
        <v>0.04</v>
      </c>
      <c r="BD10" s="212"/>
      <c r="BE10" s="245">
        <v>11016</v>
      </c>
      <c r="BF10" s="246" t="s">
        <v>344</v>
      </c>
      <c r="BG10" s="233">
        <v>0.02</v>
      </c>
      <c r="BH10" s="224">
        <v>0.02</v>
      </c>
      <c r="BI10" s="224">
        <v>0.02</v>
      </c>
      <c r="BJ10" s="224">
        <v>2.1999999999999999E-2</v>
      </c>
      <c r="BK10" s="224">
        <v>2.1999999999999999E-2</v>
      </c>
      <c r="BL10" s="224">
        <v>2.35E-2</v>
      </c>
      <c r="BM10" s="224">
        <v>2.5000000000000001E-2</v>
      </c>
      <c r="BN10" s="224">
        <v>2.6499999999999999E-2</v>
      </c>
      <c r="BO10" s="224">
        <v>2.8000000000000001E-2</v>
      </c>
      <c r="BP10" s="224">
        <v>0.03</v>
      </c>
      <c r="BQ10" s="224">
        <v>3.2000000000000001E-2</v>
      </c>
      <c r="BR10" s="212"/>
      <c r="BS10" s="245">
        <v>11016</v>
      </c>
      <c r="BT10" s="246" t="s">
        <v>344</v>
      </c>
      <c r="BU10" s="233">
        <v>0.04</v>
      </c>
      <c r="BV10" s="233">
        <v>0.04</v>
      </c>
      <c r="BW10" s="233">
        <v>0.04</v>
      </c>
      <c r="BX10" s="233">
        <v>0.04</v>
      </c>
      <c r="BY10" s="233">
        <v>0.04</v>
      </c>
      <c r="BZ10" s="233">
        <v>0.04</v>
      </c>
      <c r="CA10" s="233">
        <v>0.04</v>
      </c>
      <c r="CB10" s="233">
        <v>0.04</v>
      </c>
      <c r="CC10" s="224">
        <v>0.04</v>
      </c>
      <c r="CD10" s="224">
        <v>0.04</v>
      </c>
      <c r="CE10" s="224">
        <v>0.04</v>
      </c>
      <c r="CF10" s="224">
        <v>0.04</v>
      </c>
      <c r="CG10" s="224">
        <v>0.04</v>
      </c>
      <c r="CH10" s="224">
        <v>0.04</v>
      </c>
      <c r="CI10" s="224">
        <v>0.04</v>
      </c>
      <c r="CJ10" s="224">
        <v>0.04</v>
      </c>
      <c r="CK10" s="224">
        <v>0.04</v>
      </c>
      <c r="CL10" s="224">
        <v>0.04</v>
      </c>
      <c r="CM10" s="224">
        <v>0.04</v>
      </c>
      <c r="CN10" s="224">
        <v>0.04</v>
      </c>
      <c r="CO10" s="224">
        <v>0.04</v>
      </c>
      <c r="CP10" s="224">
        <v>0.04</v>
      </c>
      <c r="CQ10" s="224">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2"/>
      <c r="R11" s="252" t="s">
        <v>101</v>
      </c>
      <c r="S11" s="252"/>
      <c r="T11" s="252" t="s">
        <v>55</v>
      </c>
      <c r="U11" s="252" t="s">
        <v>89</v>
      </c>
      <c r="V11" s="252" t="s">
        <v>3178</v>
      </c>
      <c r="W11" s="252" t="s">
        <v>174</v>
      </c>
      <c r="X11" s="253">
        <v>0.5</v>
      </c>
      <c r="Y11" s="253">
        <v>1.2999999999999999E-2</v>
      </c>
      <c r="Z11" s="257" t="s">
        <v>3050</v>
      </c>
      <c r="AA11" s="174">
        <v>1E-3</v>
      </c>
      <c r="AB11" s="174"/>
      <c r="AC11" s="174"/>
      <c r="AD11" s="67"/>
      <c r="AE11" s="70" t="s">
        <v>3149</v>
      </c>
      <c r="AF11" s="70"/>
      <c r="AG11" s="67" t="s">
        <v>186</v>
      </c>
      <c r="AH11" s="70" t="s">
        <v>3149</v>
      </c>
      <c r="AI11" s="70"/>
      <c r="AJ11" s="70"/>
      <c r="AK11" s="70"/>
      <c r="AL11" s="226">
        <v>51030</v>
      </c>
      <c r="AM11" s="227" t="s">
        <v>54</v>
      </c>
      <c r="AN11" s="228">
        <v>0.01</v>
      </c>
      <c r="AO11" s="229"/>
      <c r="AP11" s="228"/>
      <c r="AQ11" s="228"/>
      <c r="AR11" s="228"/>
      <c r="AS11" s="228"/>
      <c r="AT11" s="228"/>
      <c r="AU11" s="228"/>
      <c r="AV11" s="228"/>
      <c r="AW11" s="228"/>
      <c r="AX11" s="228"/>
      <c r="AY11" s="228"/>
      <c r="AZ11" s="228"/>
      <c r="BA11" s="228"/>
      <c r="BB11" s="228"/>
      <c r="BC11" s="228"/>
      <c r="BD11" s="212"/>
      <c r="BE11" s="243">
        <v>51030</v>
      </c>
      <c r="BF11" s="244" t="s">
        <v>54</v>
      </c>
      <c r="BG11" s="234"/>
      <c r="BH11" s="228"/>
      <c r="BI11" s="228"/>
      <c r="BJ11" s="228"/>
      <c r="BK11" s="228"/>
      <c r="BL11" s="228"/>
      <c r="BM11" s="228"/>
      <c r="BN11" s="228"/>
      <c r="BO11" s="228"/>
      <c r="BP11" s="228"/>
      <c r="BQ11" s="228"/>
      <c r="BR11" s="212"/>
      <c r="BS11" s="243">
        <v>51030</v>
      </c>
      <c r="BT11" s="244" t="s">
        <v>54</v>
      </c>
      <c r="BU11" s="274"/>
      <c r="BV11" s="274"/>
      <c r="BW11" s="274"/>
      <c r="BX11" s="274"/>
      <c r="BY11" s="274"/>
      <c r="BZ11" s="274"/>
      <c r="CA11" s="274"/>
      <c r="CB11" s="234"/>
      <c r="CC11" s="228"/>
      <c r="CD11" s="228"/>
      <c r="CE11" s="228"/>
      <c r="CF11" s="228"/>
      <c r="CG11" s="228"/>
      <c r="CH11" s="228"/>
      <c r="CI11" s="228"/>
      <c r="CJ11" s="228"/>
      <c r="CK11" s="228"/>
      <c r="CL11" s="228"/>
      <c r="CM11" s="228"/>
      <c r="CN11" s="228"/>
      <c r="CO11" s="228"/>
      <c r="CP11" s="228"/>
      <c r="CQ11" s="228"/>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2"/>
      <c r="R12" s="252" t="s">
        <v>102</v>
      </c>
      <c r="S12" s="252"/>
      <c r="T12" s="252" t="s">
        <v>64</v>
      </c>
      <c r="U12" s="252"/>
      <c r="V12" s="252" t="s">
        <v>3179</v>
      </c>
      <c r="W12" s="252" t="s">
        <v>175</v>
      </c>
      <c r="X12" s="253">
        <v>0.55000000000000004</v>
      </c>
      <c r="Y12" s="253">
        <v>1.4E-2</v>
      </c>
      <c r="Z12" s="257" t="s">
        <v>3049</v>
      </c>
      <c r="AA12" s="174"/>
      <c r="AB12" s="174"/>
      <c r="AC12" s="174"/>
      <c r="AD12" s="67" t="s">
        <v>1495</v>
      </c>
      <c r="AE12" s="67" t="s">
        <v>1496</v>
      </c>
      <c r="AF12" s="70"/>
      <c r="AG12" s="67" t="s">
        <v>1495</v>
      </c>
      <c r="AH12" s="67" t="s">
        <v>1496</v>
      </c>
      <c r="AI12" s="70"/>
      <c r="AJ12" s="70"/>
      <c r="AK12" s="70"/>
      <c r="AL12" s="223">
        <v>51024</v>
      </c>
      <c r="AM12" s="230" t="s">
        <v>621</v>
      </c>
      <c r="AN12" s="224">
        <v>0.01</v>
      </c>
      <c r="AO12" s="225"/>
      <c r="AP12" s="224"/>
      <c r="AQ12" s="224"/>
      <c r="AR12" s="224"/>
      <c r="AS12" s="224"/>
      <c r="AT12" s="224"/>
      <c r="AU12" s="224"/>
      <c r="AV12" s="224"/>
      <c r="AW12" s="224"/>
      <c r="AX12" s="224"/>
      <c r="AY12" s="224"/>
      <c r="AZ12" s="224"/>
      <c r="BA12" s="224"/>
      <c r="BB12" s="224"/>
      <c r="BC12" s="224"/>
      <c r="BD12" s="212"/>
      <c r="BE12" s="245">
        <v>51024</v>
      </c>
      <c r="BF12" s="246" t="s">
        <v>621</v>
      </c>
      <c r="BG12" s="233"/>
      <c r="BH12" s="224"/>
      <c r="BI12" s="224"/>
      <c r="BJ12" s="224"/>
      <c r="BK12" s="224"/>
      <c r="BL12" s="224"/>
      <c r="BM12" s="224"/>
      <c r="BN12" s="224"/>
      <c r="BO12" s="224"/>
      <c r="BP12" s="224"/>
      <c r="BQ12" s="224"/>
      <c r="BR12" s="212"/>
      <c r="BS12" s="245">
        <v>51024</v>
      </c>
      <c r="BT12" s="246" t="s">
        <v>621</v>
      </c>
      <c r="BU12" s="275"/>
      <c r="BV12" s="275"/>
      <c r="BW12" s="275"/>
      <c r="BX12" s="275"/>
      <c r="BY12" s="275"/>
      <c r="BZ12" s="275"/>
      <c r="CA12" s="275"/>
      <c r="CB12" s="233"/>
      <c r="CC12" s="224"/>
      <c r="CD12" s="224"/>
      <c r="CE12" s="224"/>
      <c r="CF12" s="224"/>
      <c r="CG12" s="224"/>
      <c r="CH12" s="224"/>
      <c r="CI12" s="224"/>
      <c r="CJ12" s="224"/>
      <c r="CK12" s="224"/>
      <c r="CL12" s="224"/>
      <c r="CM12" s="224"/>
      <c r="CN12" s="224"/>
      <c r="CO12" s="224"/>
      <c r="CP12" s="224"/>
      <c r="CQ12" s="224"/>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2" t="s">
        <v>112</v>
      </c>
      <c r="R13" s="252" t="s">
        <v>103</v>
      </c>
      <c r="S13" s="268"/>
      <c r="T13" s="268"/>
      <c r="U13" s="268"/>
      <c r="V13" s="268"/>
      <c r="W13" s="252" t="s">
        <v>344</v>
      </c>
      <c r="X13" s="254">
        <v>0.6</v>
      </c>
      <c r="Y13" s="254">
        <v>1.4999999999999999E-2</v>
      </c>
      <c r="Z13" s="269" t="s">
        <v>3184</v>
      </c>
      <c r="AA13" s="174"/>
      <c r="AB13" s="173"/>
      <c r="AC13" s="174"/>
      <c r="AD13" s="87" t="s">
        <v>3054</v>
      </c>
      <c r="AE13" s="87" t="s">
        <v>3062</v>
      </c>
      <c r="AF13" s="69"/>
      <c r="AG13" s="87" t="s">
        <v>3055</v>
      </c>
      <c r="AH13" s="87" t="s">
        <v>3059</v>
      </c>
      <c r="AI13" s="70"/>
      <c r="AJ13" s="70"/>
      <c r="AK13" s="70"/>
      <c r="AL13" s="226">
        <v>10516</v>
      </c>
      <c r="AM13" s="227" t="s">
        <v>319</v>
      </c>
      <c r="AN13" s="228">
        <v>0.01</v>
      </c>
      <c r="AO13" s="229"/>
      <c r="AP13" s="228"/>
      <c r="AQ13" s="228"/>
      <c r="AR13" s="228"/>
      <c r="AS13" s="228"/>
      <c r="AT13" s="228"/>
      <c r="AU13" s="228"/>
      <c r="AV13" s="228"/>
      <c r="AW13" s="228"/>
      <c r="AX13" s="228"/>
      <c r="AY13" s="228"/>
      <c r="AZ13" s="228"/>
      <c r="BA13" s="228"/>
      <c r="BB13" s="228"/>
      <c r="BC13" s="228"/>
      <c r="BD13" s="212"/>
      <c r="BE13" s="243">
        <v>10516</v>
      </c>
      <c r="BF13" s="244" t="s">
        <v>319</v>
      </c>
      <c r="BG13" s="234"/>
      <c r="BH13" s="228"/>
      <c r="BI13" s="228"/>
      <c r="BJ13" s="228"/>
      <c r="BK13" s="228"/>
      <c r="BL13" s="228"/>
      <c r="BM13" s="228"/>
      <c r="BN13" s="228"/>
      <c r="BO13" s="228"/>
      <c r="BP13" s="228"/>
      <c r="BQ13" s="228"/>
      <c r="BR13" s="212"/>
      <c r="BS13" s="243">
        <v>10516</v>
      </c>
      <c r="BT13" s="244" t="s">
        <v>319</v>
      </c>
      <c r="BU13" s="274"/>
      <c r="BV13" s="274"/>
      <c r="BW13" s="274"/>
      <c r="BX13" s="274"/>
      <c r="BY13" s="274"/>
      <c r="BZ13" s="274"/>
      <c r="CA13" s="274"/>
      <c r="CB13" s="234"/>
      <c r="CC13" s="228"/>
      <c r="CD13" s="228"/>
      <c r="CE13" s="228"/>
      <c r="CF13" s="228"/>
      <c r="CG13" s="228"/>
      <c r="CH13" s="228"/>
      <c r="CI13" s="228"/>
      <c r="CJ13" s="228"/>
      <c r="CK13" s="228"/>
      <c r="CL13" s="228"/>
      <c r="CM13" s="228"/>
      <c r="CN13" s="228"/>
      <c r="CO13" s="228"/>
      <c r="CP13" s="228"/>
      <c r="CQ13" s="228"/>
    </row>
    <row r="14" spans="1:95" ht="48" customHeight="1" thickTop="1" thickBot="1" x14ac:dyDescent="0.3">
      <c r="A14" s="55">
        <v>10027</v>
      </c>
      <c r="B14" s="73" t="s">
        <v>199</v>
      </c>
      <c r="C14" s="56"/>
      <c r="D14" s="57">
        <v>13.25</v>
      </c>
      <c r="E14" s="58">
        <v>1</v>
      </c>
      <c r="F14" s="59" t="s">
        <v>0</v>
      </c>
      <c r="G14" s="72" t="s">
        <v>1545</v>
      </c>
      <c r="H14" s="5"/>
      <c r="I14" s="5"/>
      <c r="Q14" s="252" t="s">
        <v>117</v>
      </c>
      <c r="R14" s="252" t="s">
        <v>104</v>
      </c>
      <c r="S14" s="252"/>
      <c r="T14" s="252"/>
      <c r="U14" s="252"/>
      <c r="V14" s="252"/>
      <c r="W14" s="252"/>
      <c r="X14" s="253">
        <v>0.65</v>
      </c>
      <c r="Y14" s="174">
        <v>1.6E-2</v>
      </c>
      <c r="Z14" s="257" t="s">
        <v>3185</v>
      </c>
      <c r="AA14" s="174"/>
      <c r="AB14" s="174"/>
      <c r="AC14" s="174"/>
      <c r="AD14" s="87" t="s">
        <v>3055</v>
      </c>
      <c r="AE14" s="87" t="s">
        <v>3063</v>
      </c>
      <c r="AF14" s="69"/>
      <c r="AG14" s="87" t="s">
        <v>3061</v>
      </c>
      <c r="AH14" s="68" t="s">
        <v>3060</v>
      </c>
      <c r="AI14" s="70"/>
      <c r="AJ14" s="70"/>
      <c r="AK14" s="70"/>
      <c r="AL14" s="223">
        <v>51025</v>
      </c>
      <c r="AM14" s="230" t="s">
        <v>622</v>
      </c>
      <c r="AN14" s="224">
        <v>0.01</v>
      </c>
      <c r="AO14" s="225"/>
      <c r="AP14" s="224"/>
      <c r="AQ14" s="224"/>
      <c r="AR14" s="224"/>
      <c r="AS14" s="224"/>
      <c r="AT14" s="224"/>
      <c r="AU14" s="224"/>
      <c r="AV14" s="224"/>
      <c r="AW14" s="224"/>
      <c r="AX14" s="224"/>
      <c r="AY14" s="224"/>
      <c r="AZ14" s="224"/>
      <c r="BA14" s="224"/>
      <c r="BB14" s="224"/>
      <c r="BC14" s="224"/>
      <c r="BD14" s="212"/>
      <c r="BE14" s="245">
        <v>51025</v>
      </c>
      <c r="BF14" s="246" t="s">
        <v>622</v>
      </c>
      <c r="BG14" s="233"/>
      <c r="BH14" s="224"/>
      <c r="BI14" s="224"/>
      <c r="BJ14" s="224"/>
      <c r="BK14" s="224"/>
      <c r="BL14" s="224"/>
      <c r="BM14" s="224"/>
      <c r="BN14" s="224"/>
      <c r="BO14" s="224"/>
      <c r="BP14" s="224"/>
      <c r="BQ14" s="224"/>
      <c r="BR14" s="212"/>
      <c r="BS14" s="245">
        <v>51025</v>
      </c>
      <c r="BT14" s="246" t="s">
        <v>622</v>
      </c>
      <c r="BU14" s="275"/>
      <c r="BV14" s="275"/>
      <c r="BW14" s="275"/>
      <c r="BX14" s="275"/>
      <c r="BY14" s="275"/>
      <c r="BZ14" s="275"/>
      <c r="CA14" s="275"/>
      <c r="CB14" s="233"/>
      <c r="CC14" s="224"/>
      <c r="CD14" s="224"/>
      <c r="CE14" s="224"/>
      <c r="CF14" s="224"/>
      <c r="CG14" s="224"/>
      <c r="CH14" s="224"/>
      <c r="CI14" s="224"/>
      <c r="CJ14" s="224"/>
      <c r="CK14" s="224"/>
      <c r="CL14" s="224"/>
      <c r="CM14" s="224"/>
      <c r="CN14" s="224"/>
      <c r="CO14" s="224"/>
      <c r="CP14" s="224"/>
      <c r="CQ14" s="224"/>
    </row>
    <row r="15" spans="1:95" ht="48" customHeight="1" thickTop="1" thickBot="1" x14ac:dyDescent="0.3">
      <c r="A15" s="55">
        <v>10028</v>
      </c>
      <c r="B15" s="73" t="s">
        <v>200</v>
      </c>
      <c r="C15" s="56"/>
      <c r="D15" s="57">
        <v>7.4</v>
      </c>
      <c r="E15" s="58">
        <v>1</v>
      </c>
      <c r="F15" s="59" t="s">
        <v>0</v>
      </c>
      <c r="G15" s="72" t="s">
        <v>1546</v>
      </c>
      <c r="H15" s="5"/>
      <c r="I15" s="5"/>
      <c r="Q15" s="252" t="s">
        <v>113</v>
      </c>
      <c r="R15" s="252" t="s">
        <v>105</v>
      </c>
      <c r="S15" s="252"/>
      <c r="T15" s="252"/>
      <c r="U15" s="252"/>
      <c r="V15" s="252"/>
      <c r="W15" s="252"/>
      <c r="X15" s="253">
        <v>0.7</v>
      </c>
      <c r="Y15" s="174">
        <v>1.7000000000000001E-2</v>
      </c>
      <c r="Z15" s="257" t="s">
        <v>3186</v>
      </c>
      <c r="AA15" s="174"/>
      <c r="AB15" s="174"/>
      <c r="AC15" s="174"/>
      <c r="AD15" s="87" t="s">
        <v>3057</v>
      </c>
      <c r="AE15" s="87" t="s">
        <v>3056</v>
      </c>
      <c r="AF15" s="69"/>
      <c r="AG15" s="68" t="s">
        <v>3058</v>
      </c>
      <c r="AH15" s="68" t="s">
        <v>186</v>
      </c>
      <c r="AI15" s="70"/>
      <c r="AJ15" s="70"/>
      <c r="AK15" s="70"/>
      <c r="AL15" s="226">
        <v>10517</v>
      </c>
      <c r="AM15" s="227" t="s">
        <v>320</v>
      </c>
      <c r="AN15" s="228">
        <v>0.01</v>
      </c>
      <c r="AO15" s="229"/>
      <c r="AP15" s="228"/>
      <c r="AQ15" s="228"/>
      <c r="AR15" s="228"/>
      <c r="AS15" s="228"/>
      <c r="AT15" s="228"/>
      <c r="AU15" s="228"/>
      <c r="AV15" s="228"/>
      <c r="AW15" s="228"/>
      <c r="AX15" s="228"/>
      <c r="AY15" s="228"/>
      <c r="AZ15" s="228"/>
      <c r="BA15" s="228"/>
      <c r="BB15" s="228"/>
      <c r="BC15" s="228"/>
      <c r="BD15" s="212"/>
      <c r="BE15" s="243">
        <v>10517</v>
      </c>
      <c r="BF15" s="244" t="s">
        <v>320</v>
      </c>
      <c r="BG15" s="234"/>
      <c r="BH15" s="228"/>
      <c r="BI15" s="228"/>
      <c r="BJ15" s="228"/>
      <c r="BK15" s="228"/>
      <c r="BL15" s="228"/>
      <c r="BM15" s="228"/>
      <c r="BN15" s="228"/>
      <c r="BO15" s="228"/>
      <c r="BP15" s="228"/>
      <c r="BQ15" s="228"/>
      <c r="BR15" s="212"/>
      <c r="BS15" s="243">
        <v>10517</v>
      </c>
      <c r="BT15" s="244" t="s">
        <v>320</v>
      </c>
      <c r="BU15" s="274"/>
      <c r="BV15" s="274"/>
      <c r="BW15" s="274"/>
      <c r="BX15" s="274"/>
      <c r="BY15" s="274"/>
      <c r="BZ15" s="274"/>
      <c r="CA15" s="274"/>
      <c r="CB15" s="234"/>
      <c r="CC15" s="228"/>
      <c r="CD15" s="228"/>
      <c r="CE15" s="228"/>
      <c r="CF15" s="228"/>
      <c r="CG15" s="228"/>
      <c r="CH15" s="228"/>
      <c r="CI15" s="228"/>
      <c r="CJ15" s="228"/>
      <c r="CK15" s="228"/>
      <c r="CL15" s="228"/>
      <c r="CM15" s="228"/>
      <c r="CN15" s="228"/>
      <c r="CO15" s="228"/>
      <c r="CP15" s="228"/>
      <c r="CQ15" s="228"/>
    </row>
    <row r="16" spans="1:95" ht="48" customHeight="1" thickTop="1" thickBot="1" x14ac:dyDescent="0.3">
      <c r="A16" s="55">
        <v>10029</v>
      </c>
      <c r="B16" s="73" t="s">
        <v>201</v>
      </c>
      <c r="C16" s="56"/>
      <c r="D16" s="57">
        <v>11.4</v>
      </c>
      <c r="E16" s="58">
        <v>1</v>
      </c>
      <c r="F16" s="59" t="s">
        <v>0</v>
      </c>
      <c r="G16" s="72" t="s">
        <v>1547</v>
      </c>
      <c r="H16" s="5"/>
      <c r="I16" s="5"/>
      <c r="Q16" s="252" t="s">
        <v>114</v>
      </c>
      <c r="R16" s="252" t="s">
        <v>106</v>
      </c>
      <c r="S16" s="252"/>
      <c r="T16" s="252"/>
      <c r="U16" s="252"/>
      <c r="V16" s="252"/>
      <c r="W16" s="252"/>
      <c r="X16" s="253">
        <v>0.8</v>
      </c>
      <c r="Y16" s="253">
        <v>1.7999999999999999E-2</v>
      </c>
      <c r="Z16" s="257" t="s">
        <v>3187</v>
      </c>
      <c r="AA16" s="174"/>
      <c r="AB16" s="174"/>
      <c r="AC16" s="174"/>
      <c r="AD16" s="87" t="s">
        <v>3061</v>
      </c>
      <c r="AE16" s="86" t="s">
        <v>186</v>
      </c>
      <c r="AF16" s="69"/>
      <c r="AG16" s="68" t="s">
        <v>186</v>
      </c>
      <c r="AH16" s="68" t="s">
        <v>186</v>
      </c>
      <c r="AI16" s="70"/>
      <c r="AJ16" s="70"/>
      <c r="AK16" s="70"/>
      <c r="AL16" s="223">
        <v>51022</v>
      </c>
      <c r="AM16" s="230" t="s">
        <v>619</v>
      </c>
      <c r="AN16" s="224">
        <v>0.01</v>
      </c>
      <c r="AO16" s="225"/>
      <c r="AP16" s="224"/>
      <c r="AQ16" s="224"/>
      <c r="AR16" s="224"/>
      <c r="AS16" s="224"/>
      <c r="AT16" s="224"/>
      <c r="AU16" s="224"/>
      <c r="AV16" s="224"/>
      <c r="AW16" s="224"/>
      <c r="AX16" s="224"/>
      <c r="AY16" s="224"/>
      <c r="AZ16" s="224"/>
      <c r="BA16" s="224"/>
      <c r="BB16" s="224"/>
      <c r="BC16" s="224"/>
      <c r="BD16" s="212"/>
      <c r="BE16" s="245">
        <v>51022</v>
      </c>
      <c r="BF16" s="246" t="s">
        <v>619</v>
      </c>
      <c r="BG16" s="233"/>
      <c r="BH16" s="224"/>
      <c r="BI16" s="224"/>
      <c r="BJ16" s="224"/>
      <c r="BK16" s="224"/>
      <c r="BL16" s="224"/>
      <c r="BM16" s="224"/>
      <c r="BN16" s="224"/>
      <c r="BO16" s="224"/>
      <c r="BP16" s="224"/>
      <c r="BQ16" s="224"/>
      <c r="BR16" s="212"/>
      <c r="BS16" s="245">
        <v>51022</v>
      </c>
      <c r="BT16" s="246" t="s">
        <v>619</v>
      </c>
      <c r="BU16" s="275"/>
      <c r="BV16" s="275"/>
      <c r="BW16" s="275"/>
      <c r="BX16" s="275"/>
      <c r="BY16" s="275"/>
      <c r="BZ16" s="275"/>
      <c r="CA16" s="275"/>
      <c r="CB16" s="233"/>
      <c r="CC16" s="224"/>
      <c r="CD16" s="224"/>
      <c r="CE16" s="224"/>
      <c r="CF16" s="224"/>
      <c r="CG16" s="224"/>
      <c r="CH16" s="224"/>
      <c r="CI16" s="224"/>
      <c r="CJ16" s="224"/>
      <c r="CK16" s="224"/>
      <c r="CL16" s="224"/>
      <c r="CM16" s="224"/>
      <c r="CN16" s="224"/>
      <c r="CO16" s="224"/>
      <c r="CP16" s="224"/>
      <c r="CQ16" s="224"/>
    </row>
    <row r="17" spans="1:95" ht="48" customHeight="1" thickTop="1" thickBot="1" x14ac:dyDescent="0.3">
      <c r="A17" s="55">
        <v>10030</v>
      </c>
      <c r="B17" s="73" t="s">
        <v>202</v>
      </c>
      <c r="C17" s="56"/>
      <c r="D17" s="57">
        <v>9.9</v>
      </c>
      <c r="E17" s="58">
        <v>1</v>
      </c>
      <c r="F17" s="59" t="s">
        <v>0</v>
      </c>
      <c r="G17" s="72" t="s">
        <v>1548</v>
      </c>
      <c r="H17" s="5"/>
      <c r="I17" s="5"/>
      <c r="Q17" s="252" t="s">
        <v>116</v>
      </c>
      <c r="R17" s="252" t="s">
        <v>107</v>
      </c>
      <c r="S17" s="268"/>
      <c r="T17" s="268"/>
      <c r="U17" s="268"/>
      <c r="V17" s="268"/>
      <c r="W17" s="252"/>
      <c r="X17" s="253">
        <v>0.85</v>
      </c>
      <c r="Y17" s="253">
        <v>1.9E-2</v>
      </c>
      <c r="Z17" s="269" t="s">
        <v>3184</v>
      </c>
      <c r="AA17" s="174"/>
      <c r="AB17" s="173"/>
      <c r="AC17" s="174"/>
      <c r="AD17" s="86"/>
      <c r="AE17" s="67"/>
      <c r="AF17" s="70"/>
      <c r="AG17" s="67"/>
      <c r="AH17" s="67"/>
      <c r="AI17" s="70"/>
      <c r="AJ17" s="70"/>
      <c r="AK17" s="70"/>
      <c r="AL17" s="226">
        <v>51011</v>
      </c>
      <c r="AM17" s="227" t="s">
        <v>614</v>
      </c>
      <c r="AN17" s="228">
        <v>3.0000000000000001E-3</v>
      </c>
      <c r="AO17" s="229"/>
      <c r="AP17" s="228"/>
      <c r="AQ17" s="228"/>
      <c r="AR17" s="228"/>
      <c r="AS17" s="228"/>
      <c r="AT17" s="228"/>
      <c r="AU17" s="228"/>
      <c r="AV17" s="228"/>
      <c r="AW17" s="228"/>
      <c r="AX17" s="228"/>
      <c r="AY17" s="228"/>
      <c r="AZ17" s="228"/>
      <c r="BA17" s="228"/>
      <c r="BB17" s="228"/>
      <c r="BC17" s="228"/>
      <c r="BD17" s="212"/>
      <c r="BE17" s="243">
        <v>51011</v>
      </c>
      <c r="BF17" s="244" t="s">
        <v>614</v>
      </c>
      <c r="BG17" s="234"/>
      <c r="BH17" s="228"/>
      <c r="BI17" s="228"/>
      <c r="BJ17" s="228"/>
      <c r="BK17" s="228"/>
      <c r="BL17" s="228"/>
      <c r="BM17" s="228"/>
      <c r="BN17" s="228"/>
      <c r="BO17" s="228"/>
      <c r="BP17" s="228"/>
      <c r="BQ17" s="228"/>
      <c r="BR17" s="212"/>
      <c r="BS17" s="243">
        <v>51011</v>
      </c>
      <c r="BT17" s="244" t="s">
        <v>614</v>
      </c>
      <c r="BU17" s="274"/>
      <c r="BV17" s="274"/>
      <c r="BW17" s="274"/>
      <c r="BX17" s="274"/>
      <c r="BY17" s="274"/>
      <c r="BZ17" s="274"/>
      <c r="CA17" s="274"/>
      <c r="CB17" s="234"/>
      <c r="CC17" s="228"/>
      <c r="CD17" s="228"/>
      <c r="CE17" s="228"/>
      <c r="CF17" s="228"/>
      <c r="CG17" s="228"/>
      <c r="CH17" s="228"/>
      <c r="CI17" s="228"/>
      <c r="CJ17" s="228"/>
      <c r="CK17" s="228"/>
      <c r="CL17" s="228"/>
      <c r="CM17" s="228"/>
      <c r="CN17" s="228"/>
      <c r="CO17" s="228"/>
      <c r="CP17" s="228"/>
      <c r="CQ17" s="228"/>
    </row>
    <row r="18" spans="1:95" ht="48" customHeight="1" thickTop="1" thickBot="1" x14ac:dyDescent="0.3">
      <c r="A18" s="55">
        <v>10031</v>
      </c>
      <c r="B18" s="73" t="s">
        <v>203</v>
      </c>
      <c r="C18" s="56"/>
      <c r="D18" s="57">
        <v>15.25</v>
      </c>
      <c r="E18" s="58">
        <v>1</v>
      </c>
      <c r="F18" s="59" t="s">
        <v>0</v>
      </c>
      <c r="G18" s="72" t="s">
        <v>1549</v>
      </c>
      <c r="H18" s="5"/>
      <c r="I18" s="5"/>
      <c r="Q18" s="252" t="s">
        <v>115</v>
      </c>
      <c r="R18" s="252" t="s">
        <v>155</v>
      </c>
      <c r="S18" s="252"/>
      <c r="T18" s="252"/>
      <c r="U18" s="252"/>
      <c r="V18" s="252"/>
      <c r="W18" s="252"/>
      <c r="X18" s="253">
        <v>0.9</v>
      </c>
      <c r="Y18" s="174">
        <v>0.02</v>
      </c>
      <c r="Z18" s="257" t="s">
        <v>3188</v>
      </c>
      <c r="AA18" s="174"/>
      <c r="AB18" s="174"/>
      <c r="AC18" s="173"/>
      <c r="AL18" s="223">
        <v>51029</v>
      </c>
      <c r="AM18" s="230" t="s">
        <v>626</v>
      </c>
      <c r="AN18" s="224">
        <v>0.01</v>
      </c>
      <c r="AO18" s="225"/>
      <c r="AP18" s="224"/>
      <c r="AQ18" s="224"/>
      <c r="AR18" s="224"/>
      <c r="AS18" s="224"/>
      <c r="AT18" s="224"/>
      <c r="AU18" s="224"/>
      <c r="AV18" s="224"/>
      <c r="AW18" s="224"/>
      <c r="AX18" s="224"/>
      <c r="AY18" s="224"/>
      <c r="AZ18" s="224"/>
      <c r="BA18" s="224"/>
      <c r="BB18" s="224"/>
      <c r="BC18" s="224"/>
      <c r="BD18" s="212"/>
      <c r="BE18" s="245">
        <v>51029</v>
      </c>
      <c r="BF18" s="246" t="s">
        <v>626</v>
      </c>
      <c r="BG18" s="233"/>
      <c r="BH18" s="224"/>
      <c r="BI18" s="224"/>
      <c r="BJ18" s="224"/>
      <c r="BK18" s="224"/>
      <c r="BL18" s="224"/>
      <c r="BM18" s="224"/>
      <c r="BN18" s="224"/>
      <c r="BO18" s="224"/>
      <c r="BP18" s="224"/>
      <c r="BQ18" s="224"/>
      <c r="BR18" s="212"/>
      <c r="BS18" s="245">
        <v>51029</v>
      </c>
      <c r="BT18" s="246" t="s">
        <v>626</v>
      </c>
      <c r="BU18" s="275"/>
      <c r="BV18" s="275"/>
      <c r="BW18" s="275"/>
      <c r="BX18" s="275"/>
      <c r="BY18" s="275"/>
      <c r="BZ18" s="275"/>
      <c r="CA18" s="275"/>
      <c r="CB18" s="233"/>
      <c r="CC18" s="224"/>
      <c r="CD18" s="224"/>
      <c r="CE18" s="224"/>
      <c r="CF18" s="224"/>
      <c r="CG18" s="224"/>
      <c r="CH18" s="224"/>
      <c r="CI18" s="224"/>
      <c r="CJ18" s="224"/>
      <c r="CK18" s="224"/>
      <c r="CL18" s="224"/>
      <c r="CM18" s="224"/>
      <c r="CN18" s="224"/>
      <c r="CO18" s="224"/>
      <c r="CP18" s="224"/>
      <c r="CQ18" s="224"/>
    </row>
    <row r="19" spans="1:95" ht="48" customHeight="1" thickTop="1" thickBot="1" x14ac:dyDescent="0.3">
      <c r="A19" s="55">
        <v>10033</v>
      </c>
      <c r="B19" s="73" t="s">
        <v>204</v>
      </c>
      <c r="C19" s="56"/>
      <c r="D19" s="57">
        <v>7.9</v>
      </c>
      <c r="E19" s="58">
        <v>1</v>
      </c>
      <c r="F19" s="59" t="s">
        <v>0</v>
      </c>
      <c r="G19" s="72" t="s">
        <v>1550</v>
      </c>
      <c r="H19" s="5"/>
      <c r="I19" s="5"/>
      <c r="Q19" s="252" t="s">
        <v>149</v>
      </c>
      <c r="R19" s="252" t="s">
        <v>156</v>
      </c>
      <c r="S19" s="252"/>
      <c r="T19" s="252"/>
      <c r="U19" s="252"/>
      <c r="V19" s="252"/>
      <c r="W19" s="252"/>
      <c r="X19" s="253">
        <v>0.95</v>
      </c>
      <c r="Y19" s="174">
        <v>2.1000000000000001E-2</v>
      </c>
      <c r="Z19" s="257" t="s">
        <v>3189</v>
      </c>
      <c r="AA19" s="174"/>
      <c r="AB19" s="174"/>
      <c r="AC19" s="173"/>
      <c r="AL19" s="226">
        <v>51021</v>
      </c>
      <c r="AM19" s="227" t="s">
        <v>618</v>
      </c>
      <c r="AN19" s="228">
        <v>0.01</v>
      </c>
      <c r="AO19" s="229"/>
      <c r="AP19" s="228"/>
      <c r="AQ19" s="228"/>
      <c r="AR19" s="228"/>
      <c r="AS19" s="228"/>
      <c r="AT19" s="228"/>
      <c r="AU19" s="228"/>
      <c r="AV19" s="228"/>
      <c r="AW19" s="228"/>
      <c r="AX19" s="228"/>
      <c r="AY19" s="228"/>
      <c r="AZ19" s="228"/>
      <c r="BA19" s="228"/>
      <c r="BB19" s="228"/>
      <c r="BC19" s="228"/>
      <c r="BD19" s="212"/>
      <c r="BE19" s="243">
        <v>51021</v>
      </c>
      <c r="BF19" s="244" t="s">
        <v>618</v>
      </c>
      <c r="BG19" s="234"/>
      <c r="BH19" s="228"/>
      <c r="BI19" s="228"/>
      <c r="BJ19" s="228"/>
      <c r="BK19" s="228"/>
      <c r="BL19" s="228"/>
      <c r="BM19" s="228"/>
      <c r="BN19" s="228"/>
      <c r="BO19" s="228"/>
      <c r="BP19" s="228"/>
      <c r="BQ19" s="228"/>
      <c r="BR19" s="212"/>
      <c r="BS19" s="243">
        <v>51021</v>
      </c>
      <c r="BT19" s="244" t="s">
        <v>618</v>
      </c>
      <c r="BU19" s="274"/>
      <c r="BV19" s="274"/>
      <c r="BW19" s="274"/>
      <c r="BX19" s="274"/>
      <c r="BY19" s="274"/>
      <c r="BZ19" s="274"/>
      <c r="CA19" s="274"/>
      <c r="CB19" s="234"/>
      <c r="CC19" s="228"/>
      <c r="CD19" s="228"/>
      <c r="CE19" s="228"/>
      <c r="CF19" s="228"/>
      <c r="CG19" s="228"/>
      <c r="CH19" s="228"/>
      <c r="CI19" s="228"/>
      <c r="CJ19" s="228"/>
      <c r="CK19" s="228"/>
      <c r="CL19" s="228"/>
      <c r="CM19" s="228"/>
      <c r="CN19" s="228"/>
      <c r="CO19" s="228"/>
      <c r="CP19" s="228"/>
      <c r="CQ19" s="228"/>
    </row>
    <row r="20" spans="1:95" ht="48" customHeight="1" thickTop="1" thickBot="1" x14ac:dyDescent="0.3">
      <c r="A20" s="55">
        <v>10034</v>
      </c>
      <c r="B20" s="73" t="s">
        <v>205</v>
      </c>
      <c r="C20" s="56"/>
      <c r="D20" s="57">
        <v>1.49</v>
      </c>
      <c r="E20" s="58">
        <v>1</v>
      </c>
      <c r="F20" s="59" t="s">
        <v>0</v>
      </c>
      <c r="G20" s="72" t="s">
        <v>1551</v>
      </c>
      <c r="H20" s="5"/>
      <c r="I20" s="5"/>
      <c r="Q20" s="252" t="s">
        <v>164</v>
      </c>
      <c r="R20" s="252" t="s">
        <v>163</v>
      </c>
      <c r="S20" s="252"/>
      <c r="T20" s="252"/>
      <c r="U20" s="252"/>
      <c r="V20" s="252"/>
      <c r="W20" s="252"/>
      <c r="X20" s="253">
        <v>1</v>
      </c>
      <c r="Y20" s="174">
        <v>2.1999999999999999E-2</v>
      </c>
      <c r="Z20" s="257" t="s">
        <v>3190</v>
      </c>
      <c r="AA20" s="174"/>
      <c r="AB20" s="173"/>
      <c r="AC20" s="173"/>
      <c r="AL20" s="223">
        <v>51020</v>
      </c>
      <c r="AM20" s="230" t="s">
        <v>617</v>
      </c>
      <c r="AN20" s="224">
        <v>3.0000000000000001E-3</v>
      </c>
      <c r="AO20" s="225"/>
      <c r="AP20" s="224"/>
      <c r="AQ20" s="224"/>
      <c r="AR20" s="224"/>
      <c r="AS20" s="224"/>
      <c r="AT20" s="224"/>
      <c r="AU20" s="224"/>
      <c r="AV20" s="224"/>
      <c r="AW20" s="224"/>
      <c r="AX20" s="224"/>
      <c r="AY20" s="224"/>
      <c r="AZ20" s="224"/>
      <c r="BA20" s="224"/>
      <c r="BB20" s="224"/>
      <c r="BC20" s="224"/>
      <c r="BD20" s="212"/>
      <c r="BE20" s="245">
        <v>51020</v>
      </c>
      <c r="BF20" s="246" t="s">
        <v>617</v>
      </c>
      <c r="BG20" s="233"/>
      <c r="BH20" s="224"/>
      <c r="BI20" s="224"/>
      <c r="BJ20" s="224"/>
      <c r="BK20" s="224"/>
      <c r="BL20" s="224"/>
      <c r="BM20" s="224"/>
      <c r="BN20" s="224"/>
      <c r="BO20" s="224"/>
      <c r="BP20" s="224"/>
      <c r="BQ20" s="224"/>
      <c r="BR20" s="212"/>
      <c r="BS20" s="245">
        <v>51020</v>
      </c>
      <c r="BT20" s="246" t="s">
        <v>617</v>
      </c>
      <c r="BU20" s="275"/>
      <c r="BV20" s="275"/>
      <c r="BW20" s="275"/>
      <c r="BX20" s="275"/>
      <c r="BY20" s="275"/>
      <c r="BZ20" s="275"/>
      <c r="CA20" s="275"/>
      <c r="CB20" s="233"/>
      <c r="CC20" s="224"/>
      <c r="CD20" s="224"/>
      <c r="CE20" s="224"/>
      <c r="CF20" s="224"/>
      <c r="CG20" s="224"/>
      <c r="CH20" s="224"/>
      <c r="CI20" s="224"/>
      <c r="CJ20" s="224"/>
      <c r="CK20" s="224"/>
      <c r="CL20" s="224"/>
      <c r="CM20" s="224"/>
      <c r="CN20" s="224"/>
      <c r="CO20" s="224"/>
      <c r="CP20" s="224"/>
      <c r="CQ20" s="224"/>
    </row>
    <row r="21" spans="1:95" ht="48" customHeight="1" thickTop="1" thickBot="1" x14ac:dyDescent="0.3">
      <c r="A21" s="55">
        <v>10035</v>
      </c>
      <c r="B21" s="74" t="s">
        <v>206</v>
      </c>
      <c r="C21" s="60"/>
      <c r="D21" s="61">
        <v>9.9</v>
      </c>
      <c r="E21" s="62">
        <v>1</v>
      </c>
      <c r="F21" s="63" t="s">
        <v>0</v>
      </c>
      <c r="G21" s="72" t="s">
        <v>1552</v>
      </c>
      <c r="H21" s="5"/>
      <c r="I21" s="5"/>
      <c r="Q21" s="252"/>
      <c r="R21" s="252" t="s">
        <v>157</v>
      </c>
      <c r="S21" s="252"/>
      <c r="T21" s="252"/>
      <c r="U21" s="252"/>
      <c r="V21" s="252"/>
      <c r="W21" s="252"/>
      <c r="X21" s="253">
        <v>1.05</v>
      </c>
      <c r="Y21" s="174">
        <v>2.3E-2</v>
      </c>
      <c r="Z21" s="257" t="s">
        <v>3131</v>
      </c>
      <c r="AA21" s="174"/>
      <c r="AB21" s="173"/>
      <c r="AC21" s="173"/>
      <c r="AL21" s="226">
        <v>51026</v>
      </c>
      <c r="AM21" s="227" t="s">
        <v>623</v>
      </c>
      <c r="AN21" s="228">
        <v>0.01</v>
      </c>
      <c r="AO21" s="229"/>
      <c r="AP21" s="228"/>
      <c r="AQ21" s="228"/>
      <c r="AR21" s="228"/>
      <c r="AS21" s="228"/>
      <c r="AT21" s="228"/>
      <c r="AU21" s="228"/>
      <c r="AV21" s="228"/>
      <c r="AW21" s="228"/>
      <c r="AX21" s="228"/>
      <c r="AY21" s="228"/>
      <c r="AZ21" s="228"/>
      <c r="BA21" s="228"/>
      <c r="BB21" s="228"/>
      <c r="BC21" s="228"/>
      <c r="BD21" s="212"/>
      <c r="BE21" s="243">
        <v>51026</v>
      </c>
      <c r="BF21" s="244" t="s">
        <v>623</v>
      </c>
      <c r="BG21" s="234"/>
      <c r="BH21" s="228"/>
      <c r="BI21" s="228"/>
      <c r="BJ21" s="228"/>
      <c r="BK21" s="228"/>
      <c r="BL21" s="228"/>
      <c r="BM21" s="228"/>
      <c r="BN21" s="228"/>
      <c r="BO21" s="228"/>
      <c r="BP21" s="228"/>
      <c r="BQ21" s="228"/>
      <c r="BR21" s="212"/>
      <c r="BS21" s="243">
        <v>51026</v>
      </c>
      <c r="BT21" s="244" t="s">
        <v>623</v>
      </c>
      <c r="BU21" s="274"/>
      <c r="BV21" s="274"/>
      <c r="BW21" s="274"/>
      <c r="BX21" s="274"/>
      <c r="BY21" s="274"/>
      <c r="BZ21" s="274"/>
      <c r="CA21" s="274"/>
      <c r="CB21" s="234"/>
      <c r="CC21" s="228"/>
      <c r="CD21" s="228"/>
      <c r="CE21" s="228"/>
      <c r="CF21" s="228"/>
      <c r="CG21" s="228"/>
      <c r="CH21" s="228"/>
      <c r="CI21" s="228"/>
      <c r="CJ21" s="228"/>
      <c r="CK21" s="228"/>
      <c r="CL21" s="228"/>
      <c r="CM21" s="228"/>
      <c r="CN21" s="228"/>
      <c r="CO21" s="228"/>
      <c r="CP21" s="228"/>
      <c r="CQ21" s="228"/>
    </row>
    <row r="22" spans="1:95" ht="48" customHeight="1" thickTop="1" thickBot="1" x14ac:dyDescent="0.3">
      <c r="A22" s="55">
        <v>10036</v>
      </c>
      <c r="B22" s="73" t="s">
        <v>207</v>
      </c>
      <c r="C22" s="56"/>
      <c r="D22" s="57">
        <v>9.9</v>
      </c>
      <c r="E22" s="58">
        <v>1</v>
      </c>
      <c r="F22" s="59" t="s">
        <v>0</v>
      </c>
      <c r="G22" s="72" t="s">
        <v>1553</v>
      </c>
      <c r="H22" s="5"/>
      <c r="I22" s="5"/>
      <c r="Q22" s="252" t="s">
        <v>118</v>
      </c>
      <c r="R22" s="252" t="s">
        <v>158</v>
      </c>
      <c r="S22" s="252"/>
      <c r="T22" s="252"/>
      <c r="U22" s="252"/>
      <c r="V22" s="252"/>
      <c r="W22" s="252"/>
      <c r="X22" s="253">
        <v>1.1000000000000001</v>
      </c>
      <c r="Y22" s="174">
        <v>2.4E-2</v>
      </c>
      <c r="Z22" s="257" t="s">
        <v>3132</v>
      </c>
      <c r="AA22" s="174"/>
      <c r="AB22" s="173"/>
      <c r="AC22" s="173"/>
      <c r="AL22" s="223">
        <v>51028</v>
      </c>
      <c r="AM22" s="230" t="s">
        <v>625</v>
      </c>
      <c r="AN22" s="224">
        <v>0.01</v>
      </c>
      <c r="AO22" s="225"/>
      <c r="AP22" s="224"/>
      <c r="AQ22" s="224"/>
      <c r="AR22" s="224"/>
      <c r="AS22" s="224"/>
      <c r="AT22" s="224"/>
      <c r="AU22" s="224"/>
      <c r="AV22" s="224"/>
      <c r="AW22" s="224"/>
      <c r="AX22" s="224"/>
      <c r="AY22" s="224"/>
      <c r="AZ22" s="224"/>
      <c r="BA22" s="224"/>
      <c r="BB22" s="224"/>
      <c r="BC22" s="224"/>
      <c r="BD22" s="212"/>
      <c r="BE22" s="245">
        <v>51028</v>
      </c>
      <c r="BF22" s="246" t="s">
        <v>625</v>
      </c>
      <c r="BG22" s="233"/>
      <c r="BH22" s="224"/>
      <c r="BI22" s="224"/>
      <c r="BJ22" s="224"/>
      <c r="BK22" s="224"/>
      <c r="BL22" s="224"/>
      <c r="BM22" s="224"/>
      <c r="BN22" s="224"/>
      <c r="BO22" s="224"/>
      <c r="BP22" s="224"/>
      <c r="BQ22" s="224"/>
      <c r="BR22" s="212"/>
      <c r="BS22" s="245">
        <v>51028</v>
      </c>
      <c r="BT22" s="246" t="s">
        <v>625</v>
      </c>
      <c r="BU22" s="275"/>
      <c r="BV22" s="275"/>
      <c r="BW22" s="275"/>
      <c r="BX22" s="275"/>
      <c r="BY22" s="275"/>
      <c r="BZ22" s="275"/>
      <c r="CA22" s="275"/>
      <c r="CB22" s="233"/>
      <c r="CC22" s="224"/>
      <c r="CD22" s="224"/>
      <c r="CE22" s="224"/>
      <c r="CF22" s="224"/>
      <c r="CG22" s="224"/>
      <c r="CH22" s="224"/>
      <c r="CI22" s="224"/>
      <c r="CJ22" s="224"/>
      <c r="CK22" s="224"/>
      <c r="CL22" s="224"/>
      <c r="CM22" s="224"/>
      <c r="CN22" s="224"/>
      <c r="CO22" s="224"/>
      <c r="CP22" s="224"/>
      <c r="CQ22" s="224"/>
    </row>
    <row r="23" spans="1:95" ht="48" customHeight="1" thickTop="1" thickBot="1" x14ac:dyDescent="0.3">
      <c r="A23" s="55">
        <v>10037</v>
      </c>
      <c r="B23" s="73" t="s">
        <v>30</v>
      </c>
      <c r="C23" s="56"/>
      <c r="D23" s="57">
        <v>9.9</v>
      </c>
      <c r="E23" s="58">
        <v>1</v>
      </c>
      <c r="F23" s="59" t="s">
        <v>0</v>
      </c>
      <c r="G23" s="72" t="s">
        <v>1554</v>
      </c>
      <c r="H23" s="5"/>
      <c r="I23" s="5"/>
      <c r="Q23" s="252" t="s">
        <v>119</v>
      </c>
      <c r="R23" s="252" t="s">
        <v>160</v>
      </c>
      <c r="S23" s="252"/>
      <c r="T23" s="252"/>
      <c r="U23" s="252"/>
      <c r="V23" s="252"/>
      <c r="W23" s="252"/>
      <c r="X23" s="253">
        <v>1.1499999999999999</v>
      </c>
      <c r="Y23" s="174">
        <v>2.5000000000000001E-2</v>
      </c>
      <c r="Z23" s="257" t="s">
        <v>3133</v>
      </c>
      <c r="AA23" s="174"/>
      <c r="AB23" s="173"/>
      <c r="AC23" s="173"/>
      <c r="AL23" s="226">
        <v>51027</v>
      </c>
      <c r="AM23" s="227" t="s">
        <v>624</v>
      </c>
      <c r="AN23" s="228">
        <v>0.01</v>
      </c>
      <c r="AO23" s="229"/>
      <c r="AP23" s="228"/>
      <c r="AQ23" s="228"/>
      <c r="AR23" s="228"/>
      <c r="AS23" s="228"/>
      <c r="AT23" s="228"/>
      <c r="AU23" s="228"/>
      <c r="AV23" s="228"/>
      <c r="AW23" s="228"/>
      <c r="AX23" s="228"/>
      <c r="AY23" s="228"/>
      <c r="AZ23" s="228"/>
      <c r="BA23" s="228"/>
      <c r="BB23" s="228"/>
      <c r="BC23" s="228"/>
      <c r="BD23" s="212"/>
      <c r="BE23" s="243">
        <v>51027</v>
      </c>
      <c r="BF23" s="244" t="s">
        <v>624</v>
      </c>
      <c r="BG23" s="234"/>
      <c r="BH23" s="228"/>
      <c r="BI23" s="228"/>
      <c r="BJ23" s="228"/>
      <c r="BK23" s="228"/>
      <c r="BL23" s="228"/>
      <c r="BM23" s="228"/>
      <c r="BN23" s="228"/>
      <c r="BO23" s="228"/>
      <c r="BP23" s="228"/>
      <c r="BQ23" s="228"/>
      <c r="BR23" s="212"/>
      <c r="BS23" s="243">
        <v>51027</v>
      </c>
      <c r="BT23" s="244" t="s">
        <v>624</v>
      </c>
      <c r="BU23" s="274"/>
      <c r="BV23" s="274"/>
      <c r="BW23" s="274"/>
      <c r="BX23" s="274"/>
      <c r="BY23" s="274"/>
      <c r="BZ23" s="274"/>
      <c r="CA23" s="274"/>
      <c r="CB23" s="234"/>
      <c r="CC23" s="228"/>
      <c r="CD23" s="228"/>
      <c r="CE23" s="228"/>
      <c r="CF23" s="228"/>
      <c r="CG23" s="228"/>
      <c r="CH23" s="228"/>
      <c r="CI23" s="228"/>
      <c r="CJ23" s="228"/>
      <c r="CK23" s="228"/>
      <c r="CL23" s="228"/>
      <c r="CM23" s="228"/>
      <c r="CN23" s="228"/>
      <c r="CO23" s="228"/>
      <c r="CP23" s="228"/>
      <c r="CQ23" s="228"/>
    </row>
    <row r="24" spans="1:95" ht="48" customHeight="1" thickTop="1" thickBot="1" x14ac:dyDescent="0.3">
      <c r="A24" s="55">
        <v>10039</v>
      </c>
      <c r="B24" s="74" t="s">
        <v>208</v>
      </c>
      <c r="C24" s="60"/>
      <c r="D24" s="61">
        <v>17.2</v>
      </c>
      <c r="E24" s="62">
        <v>1</v>
      </c>
      <c r="F24" s="63" t="s">
        <v>0</v>
      </c>
      <c r="G24" s="72" t="s">
        <v>1555</v>
      </c>
      <c r="H24" s="5"/>
      <c r="I24" s="5"/>
      <c r="Q24" s="252" t="s">
        <v>120</v>
      </c>
      <c r="R24" s="252"/>
      <c r="S24" s="252"/>
      <c r="T24" s="252"/>
      <c r="U24" s="252"/>
      <c r="V24" s="252"/>
      <c r="W24" s="252"/>
      <c r="X24" s="253">
        <v>1.2</v>
      </c>
      <c r="Y24" s="174">
        <v>2.5999999999999999E-2</v>
      </c>
      <c r="Z24" s="258" t="s">
        <v>3148</v>
      </c>
      <c r="AA24" s="174"/>
      <c r="AB24" s="173"/>
      <c r="AC24" s="173"/>
      <c r="AL24" s="223">
        <v>51010</v>
      </c>
      <c r="AM24" s="230" t="s">
        <v>613</v>
      </c>
      <c r="AN24" s="224">
        <v>0.03</v>
      </c>
      <c r="AO24" s="225"/>
      <c r="AP24" s="224">
        <v>0.02</v>
      </c>
      <c r="AQ24" s="224">
        <v>1.4999999999999999E-2</v>
      </c>
      <c r="AR24" s="224">
        <v>1.2E-2</v>
      </c>
      <c r="AS24" s="224"/>
      <c r="AT24" s="224"/>
      <c r="AU24" s="224"/>
      <c r="AV24" s="224"/>
      <c r="AW24" s="224"/>
      <c r="AX24" s="224"/>
      <c r="AY24" s="224"/>
      <c r="AZ24" s="224"/>
      <c r="BA24" s="224"/>
      <c r="BB24" s="224"/>
      <c r="BC24" s="224"/>
      <c r="BD24" s="212"/>
      <c r="BE24" s="245">
        <v>51010</v>
      </c>
      <c r="BF24" s="246" t="s">
        <v>613</v>
      </c>
      <c r="BG24" s="233"/>
      <c r="BH24" s="224"/>
      <c r="BI24" s="224"/>
      <c r="BJ24" s="224"/>
      <c r="BK24" s="224"/>
      <c r="BL24" s="224"/>
      <c r="BM24" s="224"/>
      <c r="BN24" s="224"/>
      <c r="BO24" s="224"/>
      <c r="BP24" s="224"/>
      <c r="BQ24" s="224"/>
      <c r="BR24" s="212"/>
      <c r="BS24" s="245">
        <v>51010</v>
      </c>
      <c r="BT24" s="246" t="s">
        <v>613</v>
      </c>
      <c r="BU24" s="275"/>
      <c r="BV24" s="275"/>
      <c r="BW24" s="275"/>
      <c r="BX24" s="275"/>
      <c r="BY24" s="275"/>
      <c r="BZ24" s="275"/>
      <c r="CA24" s="275"/>
      <c r="CB24" s="233"/>
      <c r="CC24" s="224"/>
      <c r="CD24" s="224"/>
      <c r="CE24" s="224"/>
      <c r="CF24" s="224"/>
      <c r="CG24" s="224"/>
      <c r="CH24" s="224"/>
      <c r="CI24" s="224"/>
      <c r="CJ24" s="224"/>
      <c r="CK24" s="224"/>
      <c r="CL24" s="224"/>
      <c r="CM24" s="224"/>
      <c r="CN24" s="224"/>
      <c r="CO24" s="224"/>
      <c r="CP24" s="224"/>
      <c r="CQ24" s="224"/>
    </row>
    <row r="25" spans="1:95" ht="48" customHeight="1" thickTop="1" thickBot="1" x14ac:dyDescent="0.3">
      <c r="A25" s="55">
        <v>10040</v>
      </c>
      <c r="B25" s="74" t="s">
        <v>209</v>
      </c>
      <c r="C25" s="60">
        <v>3.0000000000000001E-3</v>
      </c>
      <c r="D25" s="61">
        <v>10.65</v>
      </c>
      <c r="E25" s="62">
        <v>1</v>
      </c>
      <c r="F25" s="63" t="s">
        <v>0</v>
      </c>
      <c r="G25" s="72" t="s">
        <v>1556</v>
      </c>
      <c r="H25" s="5"/>
      <c r="I25" s="5"/>
      <c r="Q25" s="252" t="s">
        <v>121</v>
      </c>
      <c r="R25" s="252"/>
      <c r="S25" s="252"/>
      <c r="T25" s="252"/>
      <c r="U25" s="252"/>
      <c r="V25" s="252"/>
      <c r="W25" s="252"/>
      <c r="X25" s="253">
        <v>1.25</v>
      </c>
      <c r="Y25" s="174">
        <v>2.7E-2</v>
      </c>
      <c r="Z25" s="258" t="s">
        <v>3134</v>
      </c>
      <c r="AA25" s="174"/>
      <c r="AB25" s="173"/>
      <c r="AC25" s="173"/>
      <c r="AL25" s="226">
        <v>11069</v>
      </c>
      <c r="AM25" s="227" t="s">
        <v>1503</v>
      </c>
      <c r="AN25" s="228">
        <v>0.01</v>
      </c>
      <c r="AO25" s="229"/>
      <c r="AP25" s="228"/>
      <c r="AQ25" s="228"/>
      <c r="AR25" s="228"/>
      <c r="AS25" s="228"/>
      <c r="AT25" s="228"/>
      <c r="AU25" s="228"/>
      <c r="AV25" s="228"/>
      <c r="AW25" s="228"/>
      <c r="AX25" s="228"/>
      <c r="AY25" s="228"/>
      <c r="AZ25" s="228"/>
      <c r="BA25" s="228"/>
      <c r="BB25" s="228"/>
      <c r="BC25" s="228"/>
      <c r="BD25" s="84"/>
      <c r="BE25" s="247">
        <v>11069</v>
      </c>
      <c r="BF25" s="248" t="s">
        <v>1503</v>
      </c>
      <c r="BG25" s="234"/>
      <c r="BH25" s="228"/>
      <c r="BI25" s="228"/>
      <c r="BJ25" s="228"/>
      <c r="BK25" s="228"/>
      <c r="BL25" s="228"/>
      <c r="BM25" s="228"/>
      <c r="BN25" s="228"/>
      <c r="BO25" s="228"/>
      <c r="BP25" s="228"/>
      <c r="BQ25" s="228"/>
      <c r="BS25" s="247">
        <v>11069</v>
      </c>
      <c r="BT25" s="248" t="s">
        <v>1503</v>
      </c>
      <c r="BU25" s="274"/>
      <c r="BV25" s="274"/>
      <c r="BW25" s="274"/>
      <c r="BX25" s="274"/>
      <c r="BY25" s="274"/>
      <c r="BZ25" s="274"/>
      <c r="CA25" s="274"/>
      <c r="CB25" s="234"/>
      <c r="CC25" s="228"/>
      <c r="CD25" s="228"/>
      <c r="CE25" s="228"/>
      <c r="CF25" s="228"/>
      <c r="CG25" s="228"/>
      <c r="CH25" s="228"/>
      <c r="CI25" s="228"/>
      <c r="CJ25" s="228"/>
      <c r="CK25" s="228"/>
      <c r="CL25" s="228"/>
      <c r="CM25" s="228"/>
      <c r="CN25" s="228"/>
      <c r="CO25" s="228"/>
      <c r="CP25" s="228"/>
      <c r="CQ25" s="228"/>
    </row>
    <row r="26" spans="1:95" ht="48" customHeight="1" thickTop="1" thickBot="1" x14ac:dyDescent="0.3">
      <c r="A26" s="55">
        <v>10041</v>
      </c>
      <c r="B26" s="73" t="s">
        <v>28</v>
      </c>
      <c r="C26" s="56"/>
      <c r="D26" s="57">
        <v>7.9</v>
      </c>
      <c r="E26" s="58">
        <v>1</v>
      </c>
      <c r="F26" s="59" t="s">
        <v>0</v>
      </c>
      <c r="G26" s="72" t="s">
        <v>1557</v>
      </c>
      <c r="H26" s="5"/>
      <c r="I26" s="5"/>
      <c r="Q26" s="252" t="s">
        <v>122</v>
      </c>
      <c r="R26" s="252"/>
      <c r="S26" s="252"/>
      <c r="T26" s="252"/>
      <c r="U26" s="252"/>
      <c r="V26" s="252"/>
      <c r="W26" s="252"/>
      <c r="X26" s="253">
        <v>1.3</v>
      </c>
      <c r="Y26" s="174">
        <v>2.8000000000000001E-2</v>
      </c>
      <c r="Z26" s="258" t="s">
        <v>3135</v>
      </c>
      <c r="AA26" s="174"/>
      <c r="AB26" s="173"/>
      <c r="AC26" s="173"/>
      <c r="BC26" s="2"/>
      <c r="BD26" s="212"/>
      <c r="BO26" s="2"/>
      <c r="BP26" s="84"/>
      <c r="BR26" s="235"/>
    </row>
    <row r="27" spans="1:95" ht="48" customHeight="1" thickTop="1" thickBot="1" x14ac:dyDescent="0.3">
      <c r="A27" s="55">
        <v>10042</v>
      </c>
      <c r="B27" s="73" t="s">
        <v>27</v>
      </c>
      <c r="C27" s="56">
        <v>0.98670000000000002</v>
      </c>
      <c r="D27" s="57">
        <v>6.9</v>
      </c>
      <c r="E27" s="58">
        <v>1</v>
      </c>
      <c r="F27" s="59" t="s">
        <v>0</v>
      </c>
      <c r="G27" s="72" t="s">
        <v>1558</v>
      </c>
      <c r="H27" s="5"/>
      <c r="I27" s="5"/>
      <c r="Q27" s="252" t="s">
        <v>123</v>
      </c>
      <c r="R27" s="252"/>
      <c r="S27" s="252"/>
      <c r="T27" s="252"/>
      <c r="U27" s="252"/>
      <c r="V27" s="252"/>
      <c r="W27" s="252"/>
      <c r="X27" s="253">
        <v>1.35</v>
      </c>
      <c r="Y27" s="174">
        <v>2.9000000000000001E-2</v>
      </c>
      <c r="Z27" s="257" t="s">
        <v>3136</v>
      </c>
      <c r="AA27" s="174"/>
      <c r="AB27" s="173"/>
      <c r="AC27" s="173"/>
      <c r="AL27" s="236"/>
      <c r="AM27" s="238"/>
      <c r="AN27" s="235"/>
      <c r="AO27" s="235"/>
      <c r="AP27" s="235"/>
      <c r="AQ27" s="235"/>
      <c r="AR27" s="235"/>
      <c r="AS27" s="235"/>
      <c r="AT27" s="235"/>
      <c r="AU27" s="235"/>
      <c r="AV27" s="235"/>
      <c r="AW27" s="235"/>
      <c r="AX27" s="235"/>
      <c r="AY27" s="235"/>
      <c r="AZ27" s="235"/>
      <c r="BA27" s="235"/>
      <c r="BB27" s="235"/>
      <c r="BC27" s="235"/>
      <c r="BD27" s="84"/>
      <c r="BE27" s="235"/>
      <c r="BF27" s="235"/>
      <c r="BG27" s="235"/>
      <c r="BH27" s="235"/>
      <c r="BI27" s="235"/>
      <c r="BJ27" s="235"/>
      <c r="BK27" s="235"/>
      <c r="BL27" s="235"/>
      <c r="BM27" s="235"/>
      <c r="BN27" s="235"/>
      <c r="BO27" s="235"/>
      <c r="BP27" s="212"/>
      <c r="BQ27" s="235"/>
      <c r="BS27" s="235"/>
      <c r="BT27" s="235"/>
      <c r="BU27" s="235"/>
      <c r="BV27" s="235"/>
      <c r="BW27" s="235"/>
      <c r="BX27" s="235"/>
      <c r="BY27" s="235"/>
      <c r="BZ27" s="235"/>
      <c r="CA27" s="235"/>
      <c r="CB27" s="235"/>
      <c r="CC27" s="235"/>
      <c r="CD27" s="237"/>
      <c r="CE27" s="237"/>
      <c r="CF27" s="237"/>
      <c r="CG27" s="237"/>
      <c r="CH27" s="237"/>
      <c r="CI27" s="237"/>
      <c r="CJ27" s="237"/>
      <c r="CK27" s="237"/>
      <c r="CL27" s="237"/>
      <c r="CM27" s="237"/>
    </row>
    <row r="28" spans="1:95" ht="48" customHeight="1" thickTop="1" thickBot="1" x14ac:dyDescent="0.3">
      <c r="A28" s="55">
        <v>10043</v>
      </c>
      <c r="B28" s="73" t="s">
        <v>210</v>
      </c>
      <c r="C28" s="56"/>
      <c r="D28" s="57">
        <v>9.9</v>
      </c>
      <c r="E28" s="58">
        <v>1</v>
      </c>
      <c r="F28" s="59" t="s">
        <v>0</v>
      </c>
      <c r="G28" s="72" t="s">
        <v>1559</v>
      </c>
      <c r="H28" s="5"/>
      <c r="I28" s="5"/>
      <c r="Q28" s="252" t="s">
        <v>139</v>
      </c>
      <c r="R28" s="252"/>
      <c r="S28" s="252"/>
      <c r="T28" s="252"/>
      <c r="U28" s="252"/>
      <c r="V28" s="252"/>
      <c r="W28" s="252"/>
      <c r="X28" s="253">
        <v>1.4</v>
      </c>
      <c r="Y28" s="174">
        <v>0.03</v>
      </c>
      <c r="Z28" s="257"/>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2"/>
      <c r="R29" s="252"/>
      <c r="S29" s="252"/>
      <c r="T29" s="252"/>
      <c r="U29" s="252"/>
      <c r="V29" s="252"/>
      <c r="W29" s="252"/>
      <c r="X29" s="253">
        <v>1.45</v>
      </c>
      <c r="Y29" s="174">
        <v>3.1E-2</v>
      </c>
      <c r="Z29" s="257"/>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2" t="s">
        <v>136</v>
      </c>
      <c r="R30" s="252"/>
      <c r="S30" s="252"/>
      <c r="T30" s="252"/>
      <c r="U30" s="252"/>
      <c r="V30" s="252"/>
      <c r="W30" s="252"/>
      <c r="X30" s="253">
        <v>1.5</v>
      </c>
      <c r="Y30" s="174">
        <v>3.2000000000000001E-2</v>
      </c>
      <c r="Z30" s="257"/>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2" t="s">
        <v>135</v>
      </c>
      <c r="R31" s="252"/>
      <c r="S31" s="252"/>
      <c r="T31" s="252"/>
      <c r="U31" s="252"/>
      <c r="V31" s="252"/>
      <c r="W31" s="252"/>
      <c r="X31" s="253"/>
      <c r="Y31" s="174">
        <v>3.3000000000000002E-2</v>
      </c>
      <c r="Z31" s="258"/>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2" t="s">
        <v>124</v>
      </c>
      <c r="R32" s="252"/>
      <c r="S32" s="252"/>
      <c r="T32" s="252"/>
      <c r="U32" s="252"/>
      <c r="V32" s="252"/>
      <c r="W32" s="252"/>
      <c r="X32" s="253"/>
      <c r="Y32" s="174">
        <v>3.4000000000000002E-2</v>
      </c>
      <c r="Z32" s="258"/>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2" t="s">
        <v>125</v>
      </c>
      <c r="R33" s="252"/>
      <c r="S33" s="252"/>
      <c r="T33" s="252"/>
      <c r="U33" s="252"/>
      <c r="V33" s="252"/>
      <c r="W33" s="252"/>
      <c r="X33" s="253"/>
      <c r="Y33" s="174">
        <v>3.5000000000000003E-2</v>
      </c>
      <c r="Z33" s="258"/>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2" t="s">
        <v>126</v>
      </c>
      <c r="R34" s="252"/>
      <c r="S34" s="252"/>
      <c r="T34" s="252"/>
      <c r="U34" s="252"/>
      <c r="V34" s="252"/>
      <c r="W34" s="252"/>
      <c r="X34" s="253"/>
      <c r="Y34" s="174">
        <v>3.5999999999999997E-2</v>
      </c>
      <c r="Z34" s="258"/>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2" t="s">
        <v>127</v>
      </c>
      <c r="R35" s="252"/>
      <c r="S35" s="252"/>
      <c r="T35" s="252"/>
      <c r="U35" s="252"/>
      <c r="V35" s="252"/>
      <c r="W35" s="252"/>
      <c r="X35" s="253"/>
      <c r="Y35" s="174">
        <v>3.6999999999999998E-2</v>
      </c>
      <c r="Z35" s="258"/>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2" t="s">
        <v>128</v>
      </c>
      <c r="R36" s="252"/>
      <c r="S36" s="252"/>
      <c r="T36" s="252"/>
      <c r="U36" s="252"/>
      <c r="V36" s="252"/>
      <c r="W36" s="252"/>
      <c r="X36" s="253"/>
      <c r="Y36" s="174">
        <v>3.7999999999999999E-2</v>
      </c>
      <c r="Z36" s="258"/>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2" t="s">
        <v>129</v>
      </c>
      <c r="R37" s="252"/>
      <c r="S37" s="252"/>
      <c r="T37" s="252"/>
      <c r="U37" s="252"/>
      <c r="V37" s="252"/>
      <c r="W37" s="252"/>
      <c r="X37" s="253"/>
      <c r="Y37" s="174">
        <v>3.9E-2</v>
      </c>
      <c r="Z37" s="258"/>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2"/>
      <c r="R38" s="252"/>
      <c r="S38" s="252"/>
      <c r="T38" s="252"/>
      <c r="U38" s="252"/>
      <c r="V38" s="252"/>
      <c r="W38" s="252"/>
      <c r="X38" s="253"/>
      <c r="Y38" s="174">
        <v>0.04</v>
      </c>
      <c r="Z38" s="258"/>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2" t="s">
        <v>142</v>
      </c>
      <c r="R39" s="252"/>
      <c r="S39" s="252"/>
      <c r="T39" s="252"/>
      <c r="U39" s="252"/>
      <c r="V39" s="252"/>
      <c r="W39" s="252"/>
      <c r="X39" s="253"/>
      <c r="Y39" s="255"/>
      <c r="Z39" s="258"/>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2" t="s">
        <v>143</v>
      </c>
      <c r="R40" s="252"/>
      <c r="S40" s="252"/>
      <c r="T40" s="252"/>
      <c r="U40" s="252"/>
      <c r="V40" s="252"/>
      <c r="W40" s="252"/>
      <c r="X40" s="253"/>
      <c r="Y40" s="255"/>
      <c r="Z40" s="258"/>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2" t="s">
        <v>144</v>
      </c>
      <c r="R41" s="252"/>
      <c r="S41" s="252"/>
      <c r="T41" s="252"/>
      <c r="U41" s="252"/>
      <c r="V41" s="252"/>
      <c r="W41" s="252"/>
      <c r="X41" s="253"/>
      <c r="Y41" s="255"/>
      <c r="Z41" s="258"/>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2" t="s">
        <v>145</v>
      </c>
      <c r="R42" s="252"/>
      <c r="S42" s="252"/>
      <c r="T42" s="252"/>
      <c r="U42" s="252"/>
      <c r="V42" s="252"/>
      <c r="W42" s="252"/>
      <c r="X42" s="253"/>
      <c r="Y42" s="255"/>
      <c r="Z42" s="258"/>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2" t="s">
        <v>146</v>
      </c>
      <c r="R43" s="252"/>
      <c r="S43" s="252"/>
      <c r="T43" s="252"/>
      <c r="U43" s="252"/>
      <c r="V43" s="252"/>
      <c r="W43" s="252"/>
      <c r="X43" s="253"/>
      <c r="Y43" s="255"/>
      <c r="Z43" s="258"/>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2" t="s">
        <v>147</v>
      </c>
      <c r="R44" s="252"/>
      <c r="S44" s="252"/>
      <c r="T44" s="252"/>
      <c r="U44" s="252"/>
      <c r="V44" s="252"/>
      <c r="W44" s="252"/>
      <c r="X44" s="253"/>
      <c r="Y44" s="255"/>
      <c r="Z44" s="258"/>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2" t="s">
        <v>148</v>
      </c>
      <c r="R45" s="252"/>
      <c r="S45" s="252"/>
      <c r="T45" s="252"/>
      <c r="U45" s="252"/>
      <c r="V45" s="252"/>
      <c r="W45" s="252"/>
      <c r="X45" s="253"/>
      <c r="Y45" s="255"/>
      <c r="Z45" s="258"/>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2"/>
      <c r="R46" s="252"/>
      <c r="S46" s="252"/>
      <c r="T46" s="252"/>
      <c r="U46" s="252"/>
      <c r="V46" s="252"/>
      <c r="W46" s="252"/>
      <c r="X46" s="253"/>
      <c r="Y46" s="255"/>
      <c r="Z46" s="258"/>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2" t="s">
        <v>161</v>
      </c>
      <c r="R47" s="252"/>
      <c r="S47" s="252"/>
      <c r="T47" s="252"/>
      <c r="U47" s="252"/>
      <c r="V47" s="252"/>
      <c r="W47" s="252"/>
      <c r="X47" s="253"/>
      <c r="Y47" s="255"/>
      <c r="Z47" s="258"/>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2" t="s">
        <v>130</v>
      </c>
      <c r="R48" s="252"/>
      <c r="S48" s="252"/>
      <c r="T48" s="252"/>
      <c r="U48" s="252"/>
      <c r="V48" s="252"/>
      <c r="W48" s="252"/>
      <c r="X48" s="253"/>
      <c r="Y48" s="255"/>
      <c r="Z48" s="258"/>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2" t="s">
        <v>131</v>
      </c>
      <c r="R49" s="252"/>
      <c r="S49" s="252"/>
      <c r="T49" s="252"/>
      <c r="U49" s="252"/>
      <c r="V49" s="252"/>
      <c r="W49" s="252"/>
      <c r="X49" s="253"/>
      <c r="Y49" s="255"/>
      <c r="Z49" s="258"/>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2" t="s">
        <v>137</v>
      </c>
      <c r="R50" s="252"/>
      <c r="S50" s="252"/>
      <c r="T50" s="252"/>
      <c r="U50" s="252"/>
      <c r="V50" s="252"/>
      <c r="W50" s="252"/>
      <c r="X50" s="253"/>
      <c r="Y50" s="255"/>
      <c r="Z50" s="258"/>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2" t="s">
        <v>138</v>
      </c>
      <c r="R51" s="252"/>
      <c r="S51" s="252"/>
      <c r="T51" s="252"/>
      <c r="U51" s="252"/>
      <c r="V51" s="252"/>
      <c r="W51" s="252"/>
      <c r="X51" s="253"/>
      <c r="Y51" s="255"/>
      <c r="Z51" s="258"/>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2" t="s">
        <v>168</v>
      </c>
      <c r="R52" s="252"/>
      <c r="S52" s="252"/>
      <c r="T52" s="252"/>
      <c r="U52" s="252"/>
      <c r="V52" s="252"/>
      <c r="W52" s="252"/>
      <c r="X52" s="253"/>
      <c r="Y52" s="255"/>
      <c r="Z52" s="258"/>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2" t="s">
        <v>169</v>
      </c>
      <c r="R53" s="252"/>
      <c r="S53" s="252"/>
      <c r="T53" s="252"/>
      <c r="U53" s="252"/>
      <c r="V53" s="252"/>
      <c r="W53" s="252"/>
      <c r="X53" s="253"/>
      <c r="Y53" s="255"/>
      <c r="Z53" s="258"/>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2"/>
      <c r="R54" s="252"/>
      <c r="S54" s="252"/>
      <c r="T54" s="252"/>
      <c r="U54" s="252"/>
      <c r="V54" s="252"/>
      <c r="W54" s="252"/>
      <c r="X54" s="253"/>
      <c r="Y54" s="255"/>
      <c r="Z54" s="258"/>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2"/>
      <c r="R55" s="252"/>
      <c r="S55" s="252"/>
      <c r="T55" s="252"/>
      <c r="U55" s="252"/>
      <c r="V55" s="252"/>
      <c r="W55" s="252"/>
      <c r="X55" s="253"/>
      <c r="Y55" s="255"/>
      <c r="Z55" s="258"/>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8" t="s">
        <v>175</v>
      </c>
      <c r="C185" s="259">
        <v>0.29360000000000003</v>
      </c>
      <c r="D185" s="34">
        <v>9.4</v>
      </c>
      <c r="E185" s="330">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9"/>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9">
        <v>0.3977</v>
      </c>
      <c r="D245" s="61">
        <v>7.85</v>
      </c>
      <c r="E245" s="62">
        <v>1</v>
      </c>
      <c r="F245" s="63" t="s">
        <v>0</v>
      </c>
      <c r="G245" s="72" t="s">
        <v>1764</v>
      </c>
      <c r="H245" s="5"/>
      <c r="I245" s="5"/>
    </row>
    <row r="246" spans="1:9" ht="48" customHeight="1" thickTop="1" thickBot="1" x14ac:dyDescent="0.25">
      <c r="A246" s="65">
        <v>11179</v>
      </c>
      <c r="B246" s="74" t="s">
        <v>392</v>
      </c>
      <c r="C246" s="259"/>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9">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9"/>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9"/>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5" t="s">
        <v>554</v>
      </c>
      <c r="C430" s="259">
        <v>2.5000000000000001E-3</v>
      </c>
      <c r="D430" s="316">
        <v>6.85</v>
      </c>
      <c r="E430" s="62">
        <v>1</v>
      </c>
      <c r="F430" s="63" t="s">
        <v>0</v>
      </c>
      <c r="G430" s="72" t="s">
        <v>1946</v>
      </c>
      <c r="H430" s="5"/>
    </row>
    <row r="431" spans="1:8" ht="19" thickTop="1" thickBot="1" x14ac:dyDescent="0.25">
      <c r="A431" s="65">
        <v>40088</v>
      </c>
      <c r="B431" s="315" t="s">
        <v>538</v>
      </c>
      <c r="C431" s="259"/>
      <c r="D431" s="316">
        <v>6.2</v>
      </c>
      <c r="E431" s="62">
        <v>1</v>
      </c>
      <c r="F431" s="63" t="s">
        <v>0</v>
      </c>
      <c r="G431" s="72" t="s">
        <v>1947</v>
      </c>
      <c r="H431" s="5"/>
    </row>
    <row r="432" spans="1:8" ht="19" thickTop="1" thickBot="1" x14ac:dyDescent="0.25">
      <c r="A432" s="65">
        <v>40090</v>
      </c>
      <c r="B432" s="315" t="s">
        <v>555</v>
      </c>
      <c r="C432" s="259"/>
      <c r="D432" s="316">
        <v>6.5</v>
      </c>
      <c r="E432" s="62">
        <v>1</v>
      </c>
      <c r="F432" s="63" t="s">
        <v>0</v>
      </c>
      <c r="G432" s="72" t="s">
        <v>1948</v>
      </c>
      <c r="H432" s="5"/>
    </row>
    <row r="433" spans="1:8" ht="19" thickTop="1" thickBot="1" x14ac:dyDescent="0.25">
      <c r="A433" s="65">
        <v>40095</v>
      </c>
      <c r="B433" s="315" t="s">
        <v>556</v>
      </c>
      <c r="C433" s="259"/>
      <c r="D433" s="316">
        <v>4.3</v>
      </c>
      <c r="E433" s="62">
        <v>1</v>
      </c>
      <c r="F433" s="63" t="s">
        <v>0</v>
      </c>
      <c r="G433" s="72" t="s">
        <v>1949</v>
      </c>
      <c r="H433" s="5"/>
    </row>
    <row r="434" spans="1:8" ht="19" thickTop="1" thickBot="1" x14ac:dyDescent="0.25">
      <c r="A434" s="65">
        <v>40096</v>
      </c>
      <c r="B434" s="315" t="s">
        <v>42</v>
      </c>
      <c r="C434" s="259"/>
      <c r="D434" s="316">
        <v>5.5</v>
      </c>
      <c r="E434" s="62">
        <v>1</v>
      </c>
      <c r="F434" s="63" t="s">
        <v>0</v>
      </c>
      <c r="G434" s="72" t="s">
        <v>1950</v>
      </c>
      <c r="H434" s="5"/>
    </row>
    <row r="435" spans="1:8" ht="19" thickTop="1" thickBot="1" x14ac:dyDescent="0.25">
      <c r="A435" s="65">
        <v>40097</v>
      </c>
      <c r="B435" s="315" t="s">
        <v>557</v>
      </c>
      <c r="C435" s="259">
        <v>2E-3</v>
      </c>
      <c r="D435" s="316">
        <v>7.2</v>
      </c>
      <c r="E435" s="62">
        <v>1</v>
      </c>
      <c r="F435" s="63" t="s">
        <v>0</v>
      </c>
      <c r="G435" s="72" t="s">
        <v>1951</v>
      </c>
      <c r="H435" s="5"/>
    </row>
    <row r="436" spans="1:8" ht="19" thickTop="1" thickBot="1" x14ac:dyDescent="0.25">
      <c r="A436" s="65">
        <v>40098</v>
      </c>
      <c r="B436" s="315" t="s">
        <v>558</v>
      </c>
      <c r="C436" s="259"/>
      <c r="D436" s="316">
        <v>7</v>
      </c>
      <c r="E436" s="62">
        <v>1</v>
      </c>
      <c r="F436" s="63" t="s">
        <v>0</v>
      </c>
      <c r="G436" s="72" t="s">
        <v>1952</v>
      </c>
      <c r="H436" s="5"/>
    </row>
    <row r="437" spans="1:8" ht="19" thickTop="1" thickBot="1" x14ac:dyDescent="0.25">
      <c r="A437" s="65">
        <v>40100</v>
      </c>
      <c r="B437" s="315" t="s">
        <v>559</v>
      </c>
      <c r="C437" s="259"/>
      <c r="D437" s="316">
        <v>8.4</v>
      </c>
      <c r="E437" s="62">
        <v>1</v>
      </c>
      <c r="F437" s="63" t="s">
        <v>0</v>
      </c>
      <c r="G437" s="72" t="s">
        <v>1953</v>
      </c>
      <c r="H437" s="5"/>
    </row>
    <row r="438" spans="1:8" ht="19" thickTop="1" thickBot="1" x14ac:dyDescent="0.25">
      <c r="A438" s="65">
        <v>40104</v>
      </c>
      <c r="B438" s="315" t="s">
        <v>560</v>
      </c>
      <c r="C438" s="259"/>
      <c r="D438" s="316">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3214</v>
      </c>
      <c r="H668" s="5"/>
      <c r="X668" s="249"/>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2"/>
      <c r="H1543" s="5"/>
    </row>
    <row r="1544" spans="1:8" ht="27" thickTop="1" x14ac:dyDescent="0.3">
      <c r="A1544" s="47"/>
      <c r="B1544" s="48"/>
      <c r="C1544" s="49"/>
      <c r="D1544" s="314"/>
      <c r="E1544" s="48"/>
      <c r="F1544" s="48"/>
      <c r="G1544" s="332"/>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2023-02-08T17:54:11Z</dcterms:modified>
</cp:coreProperties>
</file>