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3_Pork/A_Online-Versionen/"/>
    </mc:Choice>
  </mc:AlternateContent>
  <xr:revisionPtr revIDLastSave="0" documentId="13_ncr:1_{758AB907-6B9C-B44E-B925-D54C8773C273}" xr6:coauthVersionLast="47" xr6:coauthVersionMax="47" xr10:uidLastSave="{00000000-0000-0000-0000-000000000000}"/>
  <workbookProtection workbookAlgorithmName="SHA-512" workbookHashValue="7ej/lN5CtlblQKHmTJTnXDpMtoF35OwiRINwfWxvfD7kIktm+cGQ/O1qzehED/zaPaJjd3e1Kk5b4XzqGwBnCg==" workbookSaltValue="EOTDmS7RpdgJdt/pgLZCOw==" workbookSpinCount="100000" lockStructure="1"/>
  <bookViews>
    <workbookView xWindow="3170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9" i="7" l="1"/>
  <c r="E29" i="7"/>
  <c r="D29" i="7"/>
  <c r="E28" i="7"/>
  <c r="D28" i="7"/>
  <c r="E27" i="7"/>
  <c r="D27" i="7"/>
  <c r="E26" i="7"/>
  <c r="D26" i="7"/>
  <c r="E25" i="7"/>
  <c r="D25" i="7"/>
  <c r="E24" i="7"/>
  <c r="D24" i="7"/>
  <c r="M19" i="7"/>
  <c r="M17" i="7"/>
  <c r="M16" i="7"/>
  <c r="M14" i="7"/>
  <c r="T14" i="7" s="1"/>
  <c r="O8" i="7"/>
  <c r="B16" i="7"/>
  <c r="E16" i="7" s="1"/>
  <c r="T16" i="7"/>
  <c r="B10" i="8"/>
  <c r="D10" i="8" s="1"/>
  <c r="B13" i="8"/>
  <c r="D13" i="8"/>
  <c r="B11" i="8"/>
  <c r="D11" i="8" s="1"/>
  <c r="D16" i="7"/>
  <c r="O16" i="7"/>
  <c r="Q16" i="7" s="1"/>
  <c r="R16" i="7" s="1"/>
  <c r="O8" i="8"/>
  <c r="B8" i="8"/>
  <c r="O15" i="8"/>
  <c r="O14" i="7"/>
  <c r="P14" i="7" s="1"/>
  <c r="Q8" i="7"/>
  <c r="R8" i="7"/>
  <c r="B11" i="7"/>
  <c r="P21" i="7"/>
  <c r="O15" i="7"/>
  <c r="P15" i="7"/>
  <c r="O17" i="7"/>
  <c r="P17" i="7" s="1"/>
  <c r="O19" i="7"/>
  <c r="Q19" i="7" s="1"/>
  <c r="R19" i="7" s="1"/>
  <c r="P11" i="7"/>
  <c r="E17" i="7"/>
  <c r="D17" i="7"/>
  <c r="D14" i="7"/>
  <c r="D15" i="7"/>
  <c r="E15" i="7"/>
  <c r="E19" i="7"/>
  <c r="E14" i="7"/>
  <c r="D19" i="7"/>
  <c r="N17" i="7"/>
  <c r="T17" i="7"/>
  <c r="P8" i="7"/>
  <c r="Q14" i="7"/>
  <c r="R14" i="7" s="1"/>
  <c r="N16" i="7"/>
  <c r="N19" i="7"/>
  <c r="T19" i="7"/>
  <c r="E13" i="8"/>
  <c r="R13" i="8" s="1"/>
  <c r="L13" i="8" s="1"/>
  <c r="N14" i="7" l="1"/>
  <c r="E10" i="8"/>
  <c r="R10" i="8" s="1"/>
  <c r="L10" i="8" s="1"/>
  <c r="K10" i="8" s="1"/>
  <c r="E11" i="8"/>
  <c r="P19" i="7"/>
  <c r="B12" i="8"/>
  <c r="R12" i="7"/>
  <c r="R21" i="7"/>
  <c r="R20" i="7"/>
  <c r="Q17" i="7"/>
  <c r="R17" i="7" s="1"/>
  <c r="P16" i="7"/>
  <c r="T20" i="7"/>
  <c r="M15" i="7" s="1"/>
  <c r="R11" i="8" s="1"/>
  <c r="L11" i="8" s="1"/>
  <c r="M13" i="8"/>
  <c r="N13" i="8"/>
  <c r="K13" i="8"/>
  <c r="M10" i="8"/>
  <c r="N10" i="8"/>
  <c r="N15" i="7"/>
  <c r="P20" i="7"/>
  <c r="P12" i="7"/>
  <c r="M11" i="7" l="1"/>
  <c r="D12" i="8"/>
  <c r="E12" i="8"/>
  <c r="R12" i="8" s="1"/>
  <c r="L12" i="8" s="1"/>
  <c r="Q15" i="7"/>
  <c r="O10" i="8"/>
  <c r="P10" i="8"/>
  <c r="N11" i="8"/>
  <c r="K11" i="8"/>
  <c r="M11" i="8"/>
  <c r="P13" i="8"/>
  <c r="Q13" i="8" s="1"/>
  <c r="O13" i="8"/>
  <c r="K11" i="7"/>
  <c r="N11" i="7"/>
  <c r="K8" i="8"/>
  <c r="L8" i="8" s="1"/>
  <c r="M12" i="7"/>
  <c r="Q11" i="7"/>
  <c r="R15" i="7"/>
  <c r="Q20" i="7"/>
  <c r="M12" i="8" l="1"/>
  <c r="N12" i="8"/>
  <c r="K12" i="8"/>
  <c r="K14" i="8"/>
  <c r="L14" i="8"/>
  <c r="K12" i="7"/>
  <c r="M18" i="7"/>
  <c r="M20" i="7" s="1"/>
  <c r="K20" i="7" s="1"/>
  <c r="K14" i="7"/>
  <c r="K15" i="7"/>
  <c r="M8" i="8"/>
  <c r="P8" i="8"/>
  <c r="Q8" i="8" s="1"/>
  <c r="K15" i="8"/>
  <c r="Q12" i="7"/>
  <c r="R11" i="7"/>
  <c r="Q10" i="8"/>
  <c r="P11" i="8"/>
  <c r="Q11" i="8" s="1"/>
  <c r="O11" i="8"/>
  <c r="P12" i="8" l="1"/>
  <c r="O12" i="8"/>
  <c r="K21" i="7"/>
  <c r="O12" i="7"/>
  <c r="Q21" i="7"/>
  <c r="O21" i="7" s="1"/>
  <c r="O20" i="7"/>
  <c r="Q12" i="8" l="1"/>
  <c r="P14" i="8"/>
  <c r="P15" i="8" l="1"/>
  <c r="N15" i="8" s="1"/>
  <c r="N14" i="8"/>
</calcChain>
</file>

<file path=xl/sharedStrings.xml><?xml version="1.0" encoding="utf-8"?>
<sst xmlns="http://schemas.openxmlformats.org/spreadsheetml/2006/main" count="5170" uniqueCount="3219">
  <si>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</si>
  <si>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</si>
  <si>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</si>
  <si>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</si>
  <si>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</si>
  <si>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</si>
  <si>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</si>
  <si>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</si>
  <si>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</si>
  <si>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</si>
  <si>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</si>
  <si>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</si>
  <si>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</si>
  <si>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</si>
  <si>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</si>
  <si>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</si>
  <si>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</si>
  <si>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</si>
  <si>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</si>
  <si>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</si>
  <si>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</si>
  <si>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</si>
  <si>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</si>
  <si>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</si>
  <si>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</si>
  <si>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</si>
  <si>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</si>
  <si>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</si>
  <si>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</si>
  <si>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</si>
  <si>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</si>
  <si>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</si>
  <si>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</si>
  <si>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</si>
  <si>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</si>
  <si>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</si>
  <si>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</si>
  <si>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</si>
  <si>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</si>
  <si>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</si>
  <si>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</si>
  <si>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</si>
  <si>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</si>
  <si>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</si>
  <si>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</si>
  <si>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</si>
  <si>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</si>
  <si>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</si>
  <si>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</si>
  <si>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</si>
  <si>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</si>
  <si>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</si>
  <si>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</si>
  <si>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</si>
  <si>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</si>
  <si>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</si>
  <si>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</si>
  <si>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</si>
  <si>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</si>
  <si>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</si>
  <si>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</si>
  <si>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</si>
  <si>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</si>
  <si>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</si>
  <si>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</si>
  <si>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</si>
  <si>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</si>
  <si>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</si>
  <si>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</si>
  <si>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</si>
  <si>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</si>
  <si>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</si>
  <si>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</si>
  <si>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</si>
  <si>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</si>
  <si>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</si>
  <si>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</si>
  <si>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</si>
  <si>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</si>
  <si>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</si>
  <si>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</si>
  <si>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</si>
  <si>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</si>
  <si>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</si>
  <si>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</si>
  <si>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</si>
  <si>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</si>
  <si>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</si>
  <si>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</si>
  <si>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</si>
  <si>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</si>
  <si>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</si>
  <si>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</si>
  <si>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</si>
  <si>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</si>
  <si>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</si>
  <si>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</si>
  <si>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</si>
  <si>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</si>
  <si>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</si>
  <si>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</si>
  <si>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</si>
  <si>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</si>
  <si>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</si>
  <si>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</si>
  <si>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</si>
  <si>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</si>
  <si>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</si>
  <si>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</si>
  <si>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</si>
  <si>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</si>
  <si>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</si>
  <si>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</si>
  <si>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</si>
  <si>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</si>
  <si>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</si>
  <si>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</si>
  <si>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</si>
  <si>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</si>
  <si>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</si>
  <si>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</si>
  <si>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</si>
  <si>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</si>
  <si>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</si>
  <si>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</si>
  <si>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</si>
  <si>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</si>
  <si>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</si>
  <si>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</si>
  <si>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</si>
  <si>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</si>
  <si>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</si>
  <si>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</si>
  <si>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</si>
  <si>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</si>
  <si>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</si>
  <si>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</si>
  <si>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</si>
  <si>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</si>
  <si>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</si>
  <si>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</si>
  <si>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</si>
  <si>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</si>
  <si>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</si>
  <si>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</si>
  <si>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</si>
  <si>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</si>
  <si>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</si>
  <si>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</si>
  <si>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</si>
  <si>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</si>
  <si>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</si>
  <si>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</si>
  <si>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</si>
  <si>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</si>
  <si>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</si>
  <si>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</si>
  <si>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</si>
  <si>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</si>
  <si>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</si>
  <si>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</si>
  <si>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</si>
  <si>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</si>
  <si>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</si>
  <si>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</si>
  <si>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</si>
  <si>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</si>
  <si>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</si>
  <si>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</si>
  <si>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</si>
  <si>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</si>
  <si>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</si>
  <si>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</si>
  <si>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</si>
  <si>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</si>
  <si>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</si>
  <si>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</si>
  <si>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</si>
  <si>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</si>
  <si>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</si>
  <si>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</si>
  <si>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</si>
  <si>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</si>
  <si>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</si>
  <si>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</si>
  <si>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</si>
  <si>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</si>
  <si>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</si>
  <si>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</si>
  <si>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</si>
  <si>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</si>
  <si>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</si>
  <si>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</si>
  <si>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</si>
  <si>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</si>
  <si>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</si>
  <si>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</si>
  <si>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</si>
  <si>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</si>
  <si>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</si>
  <si>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</si>
  <si>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</si>
  <si>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</si>
  <si>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</si>
  <si>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</si>
  <si>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</si>
  <si>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</si>
  <si>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</si>
  <si>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</si>
  <si>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</si>
  <si>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</si>
  <si>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</si>
  <si>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</si>
  <si>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</si>
  <si>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</si>
  <si>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</si>
  <si>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</si>
  <si>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</si>
  <si>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</si>
  <si>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</si>
  <si>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</si>
  <si>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</si>
  <si>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</si>
  <si>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</si>
  <si>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</si>
  <si>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</si>
  <si>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</si>
  <si>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</si>
  <si>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</si>
  <si>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</si>
  <si>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</si>
  <si>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</si>
  <si>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</si>
  <si>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</si>
  <si>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</si>
  <si>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</si>
  <si>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</si>
  <si>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</si>
  <si>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</si>
  <si>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</si>
  <si>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</si>
  <si>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</si>
  <si>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</si>
  <si>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</si>
  <si>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</si>
  <si>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</si>
  <si>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</si>
  <si>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</si>
  <si>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</si>
  <si>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</si>
  <si>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</si>
  <si>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</si>
  <si>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</si>
  <si>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</si>
  <si>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</si>
  <si>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</si>
  <si>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</si>
  <si>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</si>
  <si>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</si>
  <si>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</si>
  <si>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</si>
  <si>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</si>
  <si>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</si>
  <si>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</si>
  <si>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</si>
  <si>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</si>
  <si>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</si>
  <si>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</si>
  <si>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</si>
  <si>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</si>
  <si>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</si>
  <si>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</si>
  <si>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</si>
  <si>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</si>
  <si>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</si>
  <si>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</si>
  <si>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</si>
  <si>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</si>
  <si>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</si>
  <si>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</si>
  <si>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</si>
  <si>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</si>
  <si>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</si>
  <si>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</si>
  <si>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</si>
  <si>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</si>
  <si>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</si>
  <si>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</si>
  <si>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</si>
  <si>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</si>
  <si>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</si>
  <si>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</si>
  <si>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</si>
  <si>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</si>
  <si>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</si>
  <si>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</si>
  <si>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</si>
  <si>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</si>
  <si>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</si>
  <si>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</si>
  <si>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</si>
  <si>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</si>
  <si>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</si>
  <si>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</si>
  <si>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</si>
  <si>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</si>
  <si>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</si>
  <si>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</si>
  <si>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</si>
  <si>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</si>
  <si>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</si>
  <si>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</si>
  <si>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</si>
  <si>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</si>
  <si>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</si>
  <si>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</si>
  <si>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</si>
  <si>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</si>
  <si>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</si>
  <si>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</si>
  <si>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</si>
  <si>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</si>
  <si>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</si>
  <si>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</si>
  <si>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</si>
  <si>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</si>
  <si>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</si>
  <si>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</si>
  <si>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</si>
  <si>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</si>
  <si>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</si>
  <si>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</si>
  <si>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</si>
  <si>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</si>
  <si>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</si>
  <si>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</si>
  <si>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</si>
  <si>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</si>
  <si>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</si>
  <si>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</si>
  <si>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</si>
  <si>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</si>
  <si>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</si>
  <si>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</si>
  <si>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</si>
  <si>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</si>
  <si>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</si>
  <si>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</si>
  <si>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</si>
  <si>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</si>
  <si>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</si>
  <si>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</si>
  <si>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</si>
  <si>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</si>
  <si>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</si>
  <si>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</si>
  <si>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</si>
  <si>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</si>
  <si>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</si>
  <si>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</si>
  <si>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</si>
  <si>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</si>
  <si>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</si>
  <si>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</si>
  <si>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</si>
  <si>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</si>
  <si>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</si>
  <si>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</si>
  <si>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</si>
  <si>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</si>
  <si>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</si>
  <si>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</si>
  <si>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</si>
  <si>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</si>
  <si>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</si>
  <si>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</si>
  <si>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</si>
  <si>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</si>
  <si>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</si>
  <si>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</si>
  <si>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</si>
  <si>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</si>
  <si>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</si>
  <si>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</si>
  <si>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</si>
  <si>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</si>
  <si>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</si>
  <si>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</si>
  <si>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</si>
  <si>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</si>
  <si>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</si>
  <si>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</si>
  <si>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</si>
  <si>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</si>
  <si>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</si>
  <si>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</si>
  <si>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</si>
  <si>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</si>
  <si>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</si>
  <si>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</si>
  <si>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</si>
  <si>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</si>
  <si>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</si>
  <si>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</si>
  <si>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</si>
  <si>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</si>
  <si>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</si>
  <si>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</si>
  <si>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</si>
  <si>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</si>
  <si>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</si>
  <si>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</si>
  <si>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</si>
  <si>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</si>
  <si>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</si>
  <si>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</si>
  <si>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</si>
  <si>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</si>
  <si>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</si>
  <si>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</si>
  <si>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</si>
  <si>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</si>
  <si>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</si>
  <si>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</si>
  <si>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</si>
  <si>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</si>
  <si>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</si>
  <si>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</si>
  <si>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</si>
  <si>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</si>
  <si>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</si>
  <si>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</si>
  <si>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</si>
  <si>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</si>
  <si>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</si>
  <si>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</si>
  <si>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</si>
  <si>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</si>
  <si>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</si>
  <si>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</si>
  <si>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</si>
  <si>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</si>
  <si>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</si>
  <si>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</si>
  <si>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</si>
  <si>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</si>
  <si>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</si>
  <si>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</si>
  <si>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</si>
  <si>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</si>
  <si>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</si>
  <si>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</si>
  <si>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</si>
  <si>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</si>
  <si>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</si>
  <si>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</si>
  <si>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</si>
  <si>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</si>
  <si>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</si>
  <si>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</si>
  <si>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</si>
  <si>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</si>
  <si>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</si>
  <si>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</si>
  <si>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</si>
  <si>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</si>
  <si>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</si>
  <si>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</si>
  <si>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</si>
  <si>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</si>
  <si>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</si>
  <si>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</si>
  <si>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</si>
  <si>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</si>
  <si>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</si>
  <si>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</si>
  <si>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</si>
  <si>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</si>
  <si>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</si>
  <si>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</si>
  <si>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</si>
  <si>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</si>
  <si>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</si>
  <si>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</si>
  <si>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</si>
  <si>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</si>
  <si>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</si>
  <si>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</si>
  <si>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</si>
  <si>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</si>
  <si>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</si>
  <si>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</si>
  <si>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</si>
  <si>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</si>
  <si>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</si>
  <si>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</si>
  <si>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</si>
  <si>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</si>
  <si>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</si>
  <si>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</si>
  <si>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</si>
  <si>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</si>
  <si>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</si>
  <si>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</si>
  <si>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</si>
  <si>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</si>
  <si>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</si>
  <si>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</si>
  <si>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</si>
  <si>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</si>
  <si>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</si>
  <si>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</si>
  <si>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</si>
  <si>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</si>
  <si>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</si>
  <si>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</si>
  <si>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</si>
  <si>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</si>
  <si>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</si>
  <si>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</si>
  <si>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</si>
  <si>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</si>
  <si>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</si>
  <si>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</si>
  <si>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</si>
  <si>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</si>
  <si>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</si>
  <si>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</si>
  <si>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</si>
  <si>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</si>
  <si>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</si>
  <si>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</si>
  <si>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</si>
  <si>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</si>
  <si>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</si>
  <si>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</si>
  <si>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</si>
  <si>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</si>
  <si>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</si>
  <si>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</si>
  <si>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</si>
  <si>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</si>
  <si>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</si>
  <si>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</si>
  <si>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</si>
  <si>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</si>
  <si>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</si>
  <si>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</si>
  <si>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</si>
  <si>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</si>
  <si>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</si>
  <si>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</si>
  <si>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</si>
  <si>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</si>
  <si>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</si>
  <si>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</si>
  <si>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</si>
  <si>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</si>
  <si>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</si>
  <si>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</si>
  <si>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</si>
  <si>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</si>
  <si>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</si>
  <si>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</si>
  <si>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</si>
  <si>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</si>
  <si>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</si>
  <si>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</si>
  <si>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</si>
  <si>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</si>
  <si>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</si>
  <si>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</si>
  <si>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</si>
  <si>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</si>
  <si>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</si>
  <si>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</si>
  <si>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</si>
  <si>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</si>
  <si>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</si>
  <si>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</si>
  <si>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</si>
  <si>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</si>
  <si>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</si>
  <si>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</si>
  <si>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</si>
  <si>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</si>
  <si>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</si>
  <si>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</si>
  <si>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</si>
  <si>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</si>
  <si>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</si>
  <si>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</si>
  <si>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</si>
  <si>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</si>
  <si>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</si>
  <si>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</si>
  <si>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</si>
  <si>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</si>
  <si>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</si>
  <si>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</si>
  <si>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</si>
  <si>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</si>
  <si>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</si>
  <si>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</si>
  <si>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</si>
  <si>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</si>
  <si>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</si>
  <si>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</si>
  <si>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</si>
  <si>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</si>
  <si>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</si>
  <si>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</si>
  <si>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</si>
  <si>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</si>
  <si>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</si>
  <si>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</si>
  <si>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</si>
  <si>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</si>
  <si>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</si>
  <si>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</si>
  <si>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</si>
  <si>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</si>
  <si>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</si>
  <si>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</si>
  <si>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</si>
  <si>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</si>
  <si>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</si>
  <si>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</si>
  <si>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</si>
  <si>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</si>
  <si>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</si>
  <si>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</si>
  <si>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</si>
  <si>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</si>
  <si>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</si>
  <si>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</si>
  <si>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</si>
  <si>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</si>
  <si>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</si>
  <si>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</si>
  <si>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</si>
  <si>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</si>
  <si>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</si>
  <si>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</si>
  <si>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</si>
  <si>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</si>
  <si>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</si>
  <si>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</si>
  <si>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</si>
  <si>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</si>
  <si>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</si>
  <si>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</si>
  <si>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</si>
  <si>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</si>
  <si>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</si>
  <si>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</si>
  <si>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</si>
  <si>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</si>
  <si>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</si>
  <si>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</si>
  <si>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</si>
  <si>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</si>
  <si>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</si>
  <si>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</si>
  <si>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</si>
  <si>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</si>
  <si>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</si>
  <si>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</si>
  <si>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</si>
  <si>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</si>
  <si>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</si>
  <si>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</si>
  <si>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</si>
  <si>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</si>
  <si>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</si>
  <si>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</si>
  <si>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</si>
  <si>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</si>
  <si>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</si>
  <si>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</si>
  <si>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</si>
  <si>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</si>
  <si>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</si>
  <si>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</si>
  <si>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</si>
  <si>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</si>
  <si>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</si>
  <si>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</si>
  <si>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</si>
  <si>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</si>
  <si>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</si>
  <si>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</si>
  <si>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</si>
  <si>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</si>
  <si>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</si>
  <si>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</si>
  <si>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</si>
  <si>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</si>
  <si>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</si>
  <si>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</si>
  <si>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</si>
  <si>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</si>
  <si>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</si>
  <si>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</si>
  <si>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</si>
  <si>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</si>
  <si>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</si>
  <si>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</si>
  <si>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</si>
  <si>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</si>
  <si>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</si>
  <si>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</si>
  <si>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</si>
  <si>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</si>
  <si>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</si>
  <si>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</si>
  <si>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</si>
  <si>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</si>
  <si>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</si>
  <si>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</si>
  <si>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</si>
  <si>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</si>
  <si>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</si>
  <si>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</si>
  <si>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</si>
  <si>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</si>
  <si>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</si>
  <si>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</si>
  <si>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</si>
  <si>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</si>
  <si>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</si>
  <si>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</si>
  <si>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</si>
  <si>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</si>
  <si>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</si>
  <si>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</si>
  <si>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</si>
  <si>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</si>
  <si>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</si>
  <si>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</si>
  <si>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</si>
  <si>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</si>
  <si>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</si>
  <si>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</si>
  <si>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</si>
  <si>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</si>
  <si>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</si>
  <si>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</si>
  <si>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</si>
  <si>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</si>
  <si>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</si>
  <si>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</si>
  <si>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</si>
  <si>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</si>
  <si>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</si>
  <si>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</si>
  <si>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</si>
  <si>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</si>
  <si>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</si>
  <si>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</si>
  <si>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</si>
  <si>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</si>
  <si>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</si>
  <si>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</si>
  <si>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</si>
  <si>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</si>
  <si>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</si>
  <si>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</si>
  <si>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</si>
  <si>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</si>
  <si>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</si>
  <si>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</si>
  <si>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</si>
  <si>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</si>
  <si>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</si>
  <si>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</si>
  <si>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</si>
  <si>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</si>
  <si>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</si>
  <si>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</si>
  <si>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</si>
  <si>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</si>
  <si>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</si>
  <si>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</si>
  <si>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</si>
  <si>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</si>
  <si>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</si>
  <si>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</si>
  <si>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</si>
  <si>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</si>
  <si>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</si>
  <si>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</si>
  <si>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</si>
  <si>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</si>
  <si>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</si>
  <si>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</si>
  <si>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</si>
  <si>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</si>
  <si>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</si>
  <si>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</si>
  <si>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</si>
  <si>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</si>
  <si>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</si>
  <si>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</si>
  <si>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</si>
  <si>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</si>
  <si>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</si>
  <si>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</si>
  <si>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</si>
  <si>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</si>
  <si>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</si>
  <si>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</si>
  <si>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</si>
  <si>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</si>
  <si>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</si>
  <si>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</si>
  <si>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</si>
  <si>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</si>
  <si>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</si>
  <si>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</si>
  <si>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</si>
  <si>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</si>
  <si>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</si>
  <si>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</si>
  <si>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</si>
  <si>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</si>
  <si>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</si>
  <si>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</si>
  <si>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</si>
  <si>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</si>
  <si>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</si>
  <si>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</si>
  <si>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</si>
  <si>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</si>
  <si>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</si>
  <si>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</si>
  <si>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</si>
  <si>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</si>
  <si>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</si>
  <si>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</si>
  <si>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</si>
  <si>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</si>
  <si>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</si>
  <si>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</si>
  <si>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</si>
  <si>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</si>
  <si>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</si>
  <si>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</si>
  <si>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</si>
  <si>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</si>
  <si>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</si>
  <si>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</si>
  <si>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</si>
  <si>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</si>
  <si>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</si>
  <si>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</si>
  <si>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</si>
  <si>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</si>
  <si>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</si>
  <si>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</si>
  <si>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</si>
  <si>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</si>
  <si>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</si>
  <si>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</si>
  <si>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</si>
  <si>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</si>
  <si>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</si>
  <si>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</si>
  <si>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</si>
  <si>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</si>
  <si>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</si>
  <si>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</si>
  <si>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</si>
  <si>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</si>
  <si>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</si>
  <si>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</si>
  <si>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</si>
  <si>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</si>
  <si>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</si>
  <si>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</si>
  <si>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</si>
  <si>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</si>
  <si>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</si>
  <si>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</si>
  <si>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</si>
  <si>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</si>
  <si>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</si>
  <si>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</si>
  <si>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</si>
  <si>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</si>
  <si>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</si>
  <si>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</si>
  <si>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</si>
  <si>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</si>
  <si>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</si>
  <si>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</si>
  <si>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</si>
  <si>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</si>
  <si>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</si>
  <si>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</si>
  <si>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</si>
  <si>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</si>
  <si>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</si>
  <si>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</si>
  <si>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</si>
  <si>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</si>
  <si>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</si>
  <si>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</si>
  <si>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</si>
  <si>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</si>
  <si>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</si>
  <si>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</si>
  <si>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</si>
  <si>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</si>
  <si>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</si>
  <si>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</si>
  <si>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</si>
  <si>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</si>
  <si>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</si>
  <si>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</si>
  <si>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</si>
  <si>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</si>
  <si>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</si>
  <si>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</si>
  <si>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</si>
  <si>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</si>
  <si>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</si>
  <si>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</si>
  <si>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</si>
  <si>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</si>
  <si>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</si>
  <si>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</si>
  <si>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</si>
  <si>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</si>
  <si>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</si>
  <si>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</si>
  <si>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</si>
  <si>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</si>
  <si>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</si>
  <si>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</si>
  <si>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</si>
  <si>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</si>
  <si>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</si>
  <si>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</si>
  <si>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</si>
  <si>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</si>
  <si>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</si>
  <si>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</si>
  <si>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</si>
  <si>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</si>
  <si>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</si>
  <si>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</si>
  <si>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</si>
  <si>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</si>
  <si>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</si>
  <si>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</si>
  <si>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</si>
  <si>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</si>
  <si>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</si>
  <si>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</si>
  <si>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</si>
  <si>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</si>
  <si>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</si>
  <si>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</si>
  <si>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</si>
  <si>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</si>
  <si>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</si>
  <si>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</si>
  <si>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</si>
  <si>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</si>
  <si>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</si>
  <si>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</si>
  <si>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</si>
  <si>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</si>
  <si>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</si>
  <si>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</si>
  <si>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</si>
  <si>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</si>
  <si>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</si>
  <si>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</si>
  <si>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</si>
  <si>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</si>
  <si>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</si>
  <si>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</si>
  <si>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</si>
  <si>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</si>
  <si>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</si>
  <si>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</si>
  <si>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</si>
  <si>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</si>
  <si>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</si>
  <si>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</si>
  <si>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</si>
  <si>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</si>
  <si>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</si>
  <si>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</si>
  <si>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</si>
  <si>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</si>
  <si>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</si>
  <si>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</si>
  <si>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</si>
  <si>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</si>
  <si>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</si>
  <si>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</si>
  <si>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</si>
  <si>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</si>
  <si>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</si>
  <si>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</si>
  <si>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</si>
  <si>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</si>
  <si>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</si>
  <si>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</si>
  <si>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</si>
  <si>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</si>
  <si>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</si>
  <si>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</si>
  <si>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</si>
  <si>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</si>
  <si>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</si>
  <si>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</si>
  <si>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</si>
  <si>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</si>
  <si>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</si>
  <si>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</si>
  <si>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</si>
  <si>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</si>
  <si>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</si>
  <si>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</si>
  <si>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</si>
  <si>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</si>
  <si>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</si>
  <si>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</si>
  <si>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</si>
  <si>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</si>
  <si>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</si>
  <si>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</si>
  <si>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</si>
  <si>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</si>
  <si>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</si>
  <si>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</si>
  <si>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</si>
  <si>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</si>
  <si>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</si>
  <si>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</si>
  <si>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</si>
  <si>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</si>
  <si>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</si>
  <si>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</si>
  <si>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</si>
  <si>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</si>
  <si>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</si>
  <si>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</si>
  <si>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</si>
  <si>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</si>
  <si>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</si>
  <si>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</si>
  <si>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</si>
  <si>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</si>
  <si>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</si>
  <si>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</si>
  <si>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</si>
  <si>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</si>
  <si>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</si>
  <si>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</si>
  <si>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</si>
  <si>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</si>
  <si>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</si>
  <si>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</si>
  <si>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</si>
  <si>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</si>
  <si>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</si>
  <si>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</si>
  <si>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</si>
  <si>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</si>
  <si>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</si>
  <si>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</si>
  <si>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</si>
  <si>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</si>
  <si>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</si>
  <si>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</si>
  <si>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</si>
  <si>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</si>
  <si>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</si>
  <si>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</si>
  <si>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</si>
  <si>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</si>
  <si>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</si>
  <si>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</si>
  <si>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</si>
  <si>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</si>
  <si>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</si>
  <si>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</si>
  <si>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</si>
  <si>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</si>
  <si>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</si>
  <si>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</si>
  <si>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</si>
  <si>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</si>
  <si>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</si>
  <si>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</si>
  <si>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</si>
  <si>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</si>
  <si>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</si>
  <si>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</si>
  <si>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</si>
  <si>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</si>
  <si>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</si>
  <si>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</si>
  <si>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</si>
  <si>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</si>
  <si>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</si>
  <si>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</si>
  <si>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</si>
  <si>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</si>
  <si>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</si>
  <si>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</si>
  <si>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</si>
  <si>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</si>
  <si>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</si>
  <si>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</si>
  <si>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</si>
  <si>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</si>
  <si>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</si>
  <si>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</si>
  <si>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</si>
  <si>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</si>
  <si>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</si>
  <si>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</si>
  <si>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</si>
  <si>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</si>
  <si>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</si>
  <si>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</si>
  <si>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</si>
  <si>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</si>
  <si>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</si>
  <si>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</si>
  <si>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</si>
  <si>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</si>
  <si>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</si>
  <si>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</si>
  <si>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</si>
  <si>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</si>
  <si>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</si>
  <si>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</si>
  <si>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</si>
  <si>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</si>
  <si>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</si>
  <si>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</si>
  <si>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</si>
  <si>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</si>
  <si>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</si>
  <si>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</si>
  <si>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</si>
  <si>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</si>
  <si>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</si>
  <si>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</si>
  <si>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</si>
  <si>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</si>
  <si>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</si>
  <si>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</si>
  <si>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</si>
  <si>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</si>
  <si>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</si>
  <si>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</si>
  <si>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</si>
  <si>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</si>
  <si>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</si>
  <si>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</si>
  <si>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</si>
  <si>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</si>
  <si>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</si>
  <si>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</si>
  <si>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</si>
  <si>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</si>
  <si>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</si>
  <si>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</si>
  <si>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</si>
  <si>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</si>
  <si>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</si>
  <si>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</si>
  <si>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</si>
  <si>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</si>
  <si>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</si>
  <si>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</si>
  <si>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</si>
  <si>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</si>
  <si>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</si>
  <si>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</si>
  <si>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</si>
  <si>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</si>
  <si>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</si>
  <si>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</si>
  <si>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</si>
  <si>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</si>
  <si>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</si>
  <si>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</si>
  <si>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</si>
  <si>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</si>
  <si>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</si>
  <si>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</si>
  <si>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</si>
  <si>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</si>
  <si>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</si>
  <si>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</si>
  <si>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</si>
  <si>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</si>
  <si>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</si>
  <si>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</si>
  <si>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</si>
  <si>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</si>
  <si>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</si>
  <si>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</si>
  <si>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</si>
  <si>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</si>
  <si>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</si>
  <si>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</si>
  <si>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</si>
  <si>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</si>
  <si>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</si>
  <si>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</si>
  <si>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</si>
  <si>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</si>
  <si>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</si>
  <si>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</si>
  <si>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</si>
  <si>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</si>
  <si>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</si>
  <si>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</si>
  <si>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</si>
  <si>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</si>
  <si>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</si>
  <si>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</si>
  <si>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</si>
  <si>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</si>
  <si>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</si>
  <si>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</si>
  <si>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</si>
  <si>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</si>
  <si>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</si>
  <si>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</si>
  <si>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</si>
  <si>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</si>
  <si>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</si>
  <si>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</si>
  <si>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</si>
  <si>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</si>
  <si>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</si>
  <si>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</si>
  <si>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</si>
  <si>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</si>
  <si>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</si>
  <si>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</si>
  <si>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</si>
  <si>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</si>
  <si>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</si>
  <si>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</si>
  <si>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</si>
  <si>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</si>
  <si>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</si>
  <si>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</si>
  <si>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</si>
  <si>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</si>
  <si>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</si>
  <si>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</si>
  <si>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</si>
  <si>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</si>
  <si>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</si>
  <si>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</si>
  <si>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</si>
  <si>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</si>
  <si>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</si>
  <si>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</si>
  <si>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</si>
  <si>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</si>
  <si>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</si>
  <si>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</si>
  <si>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</si>
  <si>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</si>
  <si>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</si>
  <si>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</si>
  <si>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</si>
  <si>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</si>
  <si>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</si>
  <si>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</si>
  <si>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</si>
  <si>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</si>
  <si>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</si>
  <si>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</si>
  <si>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</si>
  <si>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</si>
  <si>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</si>
  <si>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</si>
  <si>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</si>
  <si>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</si>
  <si>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</si>
  <si>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</si>
  <si>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</si>
  <si>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</si>
  <si>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</si>
  <si>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</si>
  <si>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</si>
  <si>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</si>
  <si>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</si>
  <si>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</si>
  <si>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</si>
  <si>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</si>
  <si>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</si>
  <si>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</si>
  <si>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</si>
  <si>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</si>
  <si>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</si>
  <si>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</si>
  <si>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</si>
  <si>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</si>
  <si>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</si>
  <si>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</si>
  <si>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</si>
  <si>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</si>
  <si>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</si>
  <si>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</si>
  <si>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</si>
  <si>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</si>
  <si>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</si>
  <si>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</si>
  <si>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</si>
  <si>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</si>
  <si>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</si>
  <si>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</si>
  <si>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</si>
  <si>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</si>
  <si>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</si>
  <si>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</si>
  <si>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</si>
  <si>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</si>
  <si>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</si>
  <si>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</si>
  <si>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</si>
  <si>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</si>
  <si>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</si>
  <si>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</si>
  <si>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</si>
  <si>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</si>
  <si>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</si>
  <si>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</si>
  <si>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</si>
  <si>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</si>
  <si>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</si>
  <si>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</si>
  <si>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</si>
  <si>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</si>
  <si>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</si>
  <si>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</si>
  <si>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</si>
  <si>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</si>
  <si>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</si>
  <si>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</si>
  <si>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</si>
  <si>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</si>
  <si>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</si>
  <si>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</si>
  <si>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</si>
  <si>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</si>
  <si>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</si>
  <si>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</si>
  <si>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</si>
  <si>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</si>
  <si>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</si>
  <si>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</si>
  <si>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</si>
  <si>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</si>
  <si>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</si>
  <si>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</si>
  <si>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</si>
  <si>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</si>
  <si>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</si>
  <si>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</si>
  <si>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</si>
  <si>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</si>
  <si>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</si>
  <si>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</si>
  <si>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</si>
  <si>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</si>
  <si>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</si>
  <si>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</si>
  <si>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</si>
  <si>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</si>
  <si>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</si>
  <si>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</si>
  <si>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</si>
  <si>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</si>
  <si>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</si>
  <si>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</si>
  <si>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</si>
  <si>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</si>
  <si>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</si>
  <si>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</si>
  <si>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</si>
  <si>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</si>
  <si>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</si>
  <si>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</si>
  <si>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</si>
  <si>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</si>
  <si>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</si>
  <si>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</si>
  <si>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</si>
  <si>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</si>
  <si>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</si>
  <si>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</si>
  <si>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</si>
  <si>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</si>
  <si>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</si>
  <si>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</si>
  <si>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</si>
  <si>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</si>
  <si>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</si>
  <si>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</si>
  <si>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</si>
  <si>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</si>
  <si>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</si>
  <si>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</si>
  <si>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</si>
  <si>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</si>
  <si>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</si>
  <si>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</si>
  <si>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</si>
  <si>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</si>
  <si>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</si>
  <si>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</si>
  <si>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</si>
  <si>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</si>
  <si>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</si>
  <si>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</si>
  <si>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</si>
  <si>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</si>
  <si>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</si>
  <si>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</si>
  <si>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</si>
  <si>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</si>
  <si>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</si>
  <si>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</si>
  <si>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</si>
  <si>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</si>
  <si>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</si>
  <si>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</si>
  <si>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</si>
  <si>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</si>
  <si>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</si>
  <si>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</si>
  <si>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</si>
  <si>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</si>
  <si>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</si>
  <si>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</si>
  <si>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</si>
  <si>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</si>
  <si>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</si>
  <si>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</si>
  <si>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</si>
  <si>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</si>
  <si>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</si>
  <si>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</si>
  <si>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</si>
  <si>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</si>
  <si>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</si>
  <si>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</si>
  <si>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</si>
  <si>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</si>
  <si>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</si>
  <si>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</si>
  <si>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</si>
  <si>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</si>
  <si>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</si>
  <si>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</si>
  <si>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</si>
  <si>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</si>
  <si>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</si>
  <si>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</si>
  <si>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</si>
  <si>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</si>
  <si>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</si>
  <si>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</si>
  <si>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</si>
  <si>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</si>
  <si>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</si>
  <si>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</si>
  <si>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</si>
  <si>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</si>
  <si>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</si>
  <si>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</si>
  <si>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</si>
  <si>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</si>
  <si>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</si>
  <si>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</si>
  <si>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</si>
  <si>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</si>
  <si>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</si>
  <si>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</si>
  <si>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</si>
  <si>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</si>
  <si>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</si>
  <si>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</si>
  <si>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</si>
  <si>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</si>
  <si>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</si>
  <si>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</si>
  <si>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</si>
  <si>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</si>
  <si>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</si>
  <si>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</si>
  <si>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</si>
  <si>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</si>
  <si>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</si>
  <si>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</si>
  <si>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</si>
  <si>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</si>
  <si>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</si>
  <si>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</si>
  <si>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</si>
  <si>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</si>
  <si>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</si>
  <si>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</si>
  <si>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</si>
  <si>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</si>
  <si>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</si>
  <si>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</si>
  <si>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</si>
  <si>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</si>
  <si>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</si>
  <si>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</si>
  <si>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</si>
  <si>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</si>
  <si>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</si>
  <si>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</si>
  <si>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</si>
  <si>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</si>
  <si>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</si>
  <si>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</si>
  <si>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</si>
  <si>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</si>
  <si>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</si>
  <si>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</si>
  <si>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</si>
  <si>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</si>
  <si>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</si>
  <si>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</si>
  <si>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</si>
  <si>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</si>
  <si>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</si>
  <si>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</si>
  <si>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</si>
  <si>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</si>
  <si>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</si>
  <si>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</si>
  <si>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</si>
  <si>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</si>
  <si>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</si>
  <si>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</si>
  <si>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</si>
  <si>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</si>
  <si>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</si>
  <si>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</si>
  <si>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</si>
  <si>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</si>
  <si>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</si>
  <si>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</si>
  <si>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</si>
  <si>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</si>
  <si>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</si>
  <si>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</si>
  <si>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</si>
  <si>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</si>
  <si>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</si>
  <si>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</si>
  <si>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</si>
  <si>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</si>
  <si>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</si>
  <si>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</si>
  <si>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</si>
  <si>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</si>
  <si>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</si>
  <si>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</si>
  <si>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</si>
  <si>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</si>
  <si>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</si>
  <si>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</si>
  <si>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</si>
  <si>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</si>
  <si>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</si>
  <si>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</si>
  <si>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</si>
  <si>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</si>
  <si>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</si>
  <si>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</si>
  <si>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</si>
  <si>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</si>
  <si>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</si>
  <si>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</si>
  <si>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</si>
  <si>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</si>
  <si>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</si>
  <si>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</si>
  <si>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</si>
  <si>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</si>
  <si>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</si>
  <si>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</si>
  <si>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</si>
  <si>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</si>
  <si>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</si>
  <si>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</si>
  <si>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</si>
  <si>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</si>
  <si>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</si>
  <si>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</si>
  <si>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</si>
  <si>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</si>
  <si>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</si>
  <si>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</si>
  <si>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</si>
  <si>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</si>
  <si>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</si>
  <si>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</si>
  <si>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</si>
  <si>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</si>
  <si>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</si>
  <si>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</si>
  <si>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</si>
  <si>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</si>
  <si>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</si>
  <si>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</si>
  <si>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</si>
  <si>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</si>
  <si>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</si>
  <si>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</si>
  <si>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</si>
  <si>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</si>
  <si>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</si>
  <si>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</si>
  <si>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</si>
  <si>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</si>
  <si>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</si>
  <si>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</si>
  <si>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</si>
  <si>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</si>
  <si>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</si>
  <si>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</si>
  <si>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</si>
  <si>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</si>
  <si>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</si>
  <si>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</si>
  <si>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</si>
  <si>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</si>
  <si>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</si>
  <si>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</si>
  <si>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</si>
  <si>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</si>
  <si>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</si>
  <si>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</si>
  <si>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</si>
  <si>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</si>
  <si>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</si>
  <si>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</si>
  <si>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</si>
  <si>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</si>
  <si>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</si>
  <si>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</si>
  <si>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</si>
  <si>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</si>
  <si>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</si>
  <si>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</si>
  <si>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</si>
  <si>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</si>
  <si>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</si>
  <si>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</si>
  <si>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</si>
  <si>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</si>
  <si>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</si>
  <si>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</si>
  <si>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</si>
  <si>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</si>
  <si>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</si>
  <si>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</si>
  <si>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</si>
  <si>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</si>
  <si>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</si>
  <si>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</si>
  <si>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</si>
  <si>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</si>
  <si>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</si>
  <si>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</si>
  <si>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</si>
  <si>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</si>
  <si>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</si>
  <si>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</si>
  <si>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</si>
  <si>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</si>
  <si>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</si>
  <si>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</si>
  <si>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</si>
  <si>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</si>
  <si>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</si>
  <si>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</si>
  <si>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</si>
  <si>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</si>
  <si>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</si>
  <si>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</si>
  <si>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</si>
  <si>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</si>
  <si>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</si>
  <si>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</si>
  <si>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</si>
  <si>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</si>
  <si>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</si>
  <si>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</si>
  <si>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</si>
  <si>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</si>
  <si>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</si>
  <si>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</si>
  <si>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</si>
  <si>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</si>
  <si>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</si>
  <si>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</si>
  <si>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</si>
  <si>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</si>
  <si>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</si>
  <si>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</si>
  <si>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</si>
  <si>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</si>
  <si>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</si>
  <si>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</si>
  <si>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</si>
  <si>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</si>
  <si>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</si>
  <si>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</si>
  <si>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</si>
  <si>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</si>
  <si>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</si>
  <si>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</si>
  <si>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</si>
  <si>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</si>
  <si>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</si>
  <si>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</si>
  <si>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</si>
  <si>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</si>
  <si>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</si>
  <si>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</si>
  <si>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</si>
  <si>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</si>
  <si>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</si>
  <si>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</si>
  <si>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</si>
  <si>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</si>
  <si>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</si>
  <si>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</si>
  <si>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</si>
  <si>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</si>
  <si>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</si>
  <si>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</si>
  <si>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</si>
  <si>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</si>
  <si>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</si>
  <si>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</si>
  <si>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</si>
  <si>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</si>
  <si>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</si>
  <si>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</si>
  <si>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</si>
  <si>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</si>
  <si>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</si>
  <si>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</si>
  <si>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</si>
  <si>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</si>
  <si>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</si>
  <si>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</si>
  <si>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</si>
  <si>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</si>
  <si>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</si>
  <si>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</si>
  <si>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</si>
  <si>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</si>
  <si>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</si>
  <si>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</si>
  <si>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</si>
  <si>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</si>
  <si>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</si>
  <si>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</si>
  <si>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</si>
  <si>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</si>
  <si>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</si>
  <si>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</si>
  <si>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</si>
  <si>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</si>
  <si>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</si>
  <si>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</si>
  <si>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</si>
  <si>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</si>
  <si>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</si>
  <si>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</si>
  <si>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</si>
  <si>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</si>
  <si>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</si>
  <si>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</si>
  <si>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</si>
  <si>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</si>
  <si>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</si>
  <si>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</si>
  <si>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</si>
  <si>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</si>
  <si>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</si>
  <si>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</si>
  <si>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</si>
  <si>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</si>
  <si>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</si>
  <si>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</si>
  <si>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</si>
  <si>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</si>
  <si>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</si>
  <si>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</si>
  <si>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</si>
  <si>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</si>
  <si>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</si>
  <si>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</si>
  <si>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</si>
  <si>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</si>
  <si>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</si>
  <si>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</si>
  <si>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</si>
  <si>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</si>
  <si>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</si>
  <si>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</si>
  <si>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</si>
  <si>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</si>
  <si>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</si>
  <si>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</si>
  <si>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</si>
  <si>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</si>
  <si>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</si>
  <si>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</si>
  <si>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</si>
  <si>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</si>
  <si>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</si>
  <si>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</si>
  <si>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</si>
  <si>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</si>
  <si>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</si>
  <si>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</si>
  <si>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</si>
  <si>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</si>
  <si>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</si>
  <si>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</si>
  <si>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</si>
  <si>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</si>
  <si>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</si>
  <si>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</si>
  <si>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</si>
  <si>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</si>
  <si>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</si>
  <si>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</si>
  <si>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</si>
  <si>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</si>
  <si>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</si>
  <si>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</si>
  <si>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</si>
  <si>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</si>
  <si>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</si>
  <si>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</si>
  <si>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</si>
  <si>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</si>
  <si>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</si>
  <si>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</si>
  <si>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</si>
  <si>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</si>
  <si>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</si>
  <si>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</si>
  <si>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</si>
  <si>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</si>
  <si>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</si>
  <si>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</si>
  <si>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</si>
  <si>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</si>
  <si>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</si>
  <si>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</si>
  <si>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</si>
  <si>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</si>
  <si>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</si>
  <si>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</si>
  <si>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</si>
  <si>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</si>
  <si>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</si>
  <si>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</si>
  <si>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</si>
  <si>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</si>
  <si>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</si>
  <si>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</si>
  <si>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</si>
  <si>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</si>
  <si>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</si>
  <si>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</si>
  <si>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</si>
  <si>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</si>
  <si>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</si>
  <si>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</si>
  <si>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</si>
  <si>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</si>
  <si>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</si>
  <si>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</si>
  <si>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</si>
  <si>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</si>
  <si>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</si>
  <si>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</si>
  <si>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</si>
  <si>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</si>
  <si>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</si>
  <si>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</si>
  <si>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</si>
  <si>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</si>
  <si>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</si>
  <si>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</si>
  <si>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</si>
  <si>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</si>
  <si>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</si>
  <si>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</si>
  <si>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</si>
  <si>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</si>
  <si>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</si>
  <si>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</si>
  <si>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</si>
  <si>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</si>
  <si>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</si>
  <si>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</si>
  <si>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</si>
  <si>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</si>
  <si>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</si>
  <si>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</si>
  <si>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</si>
  <si>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</si>
  <si>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</si>
  <si>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</si>
  <si>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</si>
  <si>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</si>
  <si>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</si>
  <si>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</si>
  <si>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</si>
  <si>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</si>
  <si>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</si>
  <si>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</si>
  <si>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</si>
  <si>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</si>
  <si>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</si>
  <si>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</si>
  <si>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</si>
  <si>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</si>
  <si>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</si>
  <si>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</si>
  <si>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</si>
  <si>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</si>
  <si>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</si>
  <si>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</si>
  <si>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</si>
  <si>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</si>
  <si>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</si>
  <si>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</si>
  <si>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</si>
  <si>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</si>
  <si>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</si>
  <si>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</si>
  <si>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</si>
  <si>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</si>
  <si>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</si>
  <si>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</si>
  <si>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</si>
  <si>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</si>
  <si>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</si>
  <si>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</si>
  <si>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</si>
  <si>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</si>
  <si>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</si>
  <si>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</si>
  <si>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</si>
  <si>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</si>
  <si>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</si>
  <si>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</si>
  <si>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</si>
  <si>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</si>
  <si>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</si>
  <si>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</si>
  <si>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</si>
  <si>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</si>
  <si>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</si>
  <si>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</si>
  <si>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</si>
  <si>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</si>
  <si>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</si>
  <si>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</si>
  <si>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</si>
  <si>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</si>
  <si>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</si>
  <si>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</si>
  <si>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</si>
  <si>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</si>
  <si>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</si>
  <si>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</si>
  <si>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</si>
  <si>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</si>
  <si>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</si>
  <si>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</si>
  <si>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</si>
  <si>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</si>
  <si>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</si>
  <si>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</si>
  <si>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</si>
  <si>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</si>
  <si>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</si>
  <si>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</si>
  <si>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</si>
  <si>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</si>
  <si>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</si>
  <si>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</si>
  <si>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</si>
  <si>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</si>
  <si>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</si>
  <si>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</si>
  <si>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</si>
  <si>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</si>
  <si>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</si>
  <si>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</si>
  <si>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</si>
  <si>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</si>
  <si>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</si>
  <si>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</si>
  <si>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</si>
  <si>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</si>
  <si>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</si>
  <si>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</si>
  <si>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</si>
  <si>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</si>
  <si>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</si>
  <si>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</si>
  <si>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</si>
  <si>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</si>
  <si>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</si>
  <si>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</si>
  <si>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</si>
  <si>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</si>
  <si>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</si>
  <si>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</si>
  <si>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</si>
  <si>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</si>
  <si>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</si>
  <si>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</si>
  <si>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</si>
  <si>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</si>
  <si>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</si>
  <si>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</si>
  <si>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</si>
  <si>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</si>
  <si>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</si>
  <si>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</si>
  <si>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</si>
  <si>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</si>
  <si>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</si>
  <si>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</si>
  <si>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</si>
  <si>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</si>
  <si>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</si>
  <si>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</si>
  <si>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</si>
  <si>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</si>
  <si>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</si>
  <si>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</si>
  <si>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</si>
  <si>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</si>
  <si>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</si>
  <si>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</si>
  <si>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</si>
  <si>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</si>
  <si>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</si>
  <si>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</si>
  <si>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</si>
  <si>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</si>
  <si>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</si>
  <si>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</si>
  <si>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</si>
  <si>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</si>
  <si>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</si>
  <si>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</si>
  <si>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</si>
  <si>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</si>
  <si>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</si>
  <si>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</si>
  <si>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</si>
  <si>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</si>
  <si>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</si>
  <si>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</si>
  <si>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</si>
  <si>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</si>
  <si>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</si>
  <si>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</si>
  <si>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</si>
  <si>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</si>
  <si>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</si>
  <si>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</si>
  <si>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</si>
  <si>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</si>
  <si>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</si>
  <si>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</si>
  <si>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</si>
  <si>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</si>
  <si>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</si>
  <si>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</si>
  <si>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</si>
  <si>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</si>
  <si>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</si>
  <si>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</si>
  <si>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</si>
  <si>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</si>
  <si>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</si>
  <si>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</si>
  <si>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</si>
  <si>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</si>
  <si>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</si>
  <si>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</si>
  <si>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</si>
  <si>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</si>
  <si>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</si>
  <si>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</si>
  <si>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</si>
  <si>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</si>
  <si>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</si>
  <si>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</si>
  <si>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</si>
  <si>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</si>
  <si>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</si>
  <si>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</si>
  <si>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</si>
  <si>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</si>
  <si>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</si>
  <si>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</si>
  <si>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</si>
  <si>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</si>
  <si>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</si>
  <si>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</si>
  <si>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</si>
  <si>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</si>
  <si>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</si>
  <si>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</si>
  <si>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</si>
  <si>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</si>
  <si>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</si>
  <si>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</si>
  <si>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</si>
  <si>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</si>
  <si>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</si>
  <si>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</si>
  <si>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</si>
  <si>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</si>
  <si>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</si>
  <si>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</si>
  <si>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</si>
  <si>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</si>
  <si>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</si>
  <si>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</si>
  <si>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</si>
  <si>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</si>
  <si>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</si>
  <si>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</si>
  <si>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</si>
  <si>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</si>
  <si>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</si>
  <si>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</si>
  <si>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</si>
  <si>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</si>
  <si>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</si>
  <si>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</si>
  <si>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</si>
  <si>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</si>
  <si>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</si>
  <si>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</si>
  <si>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</si>
  <si>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</si>
  <si>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</si>
  <si>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</si>
  <si>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</si>
  <si>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</si>
  <si>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</si>
  <si>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</si>
  <si>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</si>
  <si>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</si>
  <si>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</si>
  <si>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</si>
  <si>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</si>
  <si>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</si>
  <si>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</si>
  <si>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</si>
  <si>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</si>
  <si>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</si>
  <si>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</si>
  <si>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</si>
  <si>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</si>
  <si>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</si>
  <si>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</si>
  <si>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</si>
  <si>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</si>
  <si>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</si>
  <si>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</si>
  <si>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</si>
  <si>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</si>
  <si>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</si>
  <si>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</si>
  <si>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</si>
  <si>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</si>
  <si>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</si>
  <si>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</si>
  <si>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</si>
  <si>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</si>
  <si>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</si>
  <si>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</si>
  <si>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</si>
  <si>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</si>
  <si>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</si>
  <si>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</si>
  <si>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</si>
  <si>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</si>
  <si>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</si>
  <si>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</si>
  <si>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</si>
  <si>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</si>
  <si>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</si>
  <si>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</si>
  <si>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</si>
  <si>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</si>
  <si>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</si>
  <si>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</si>
  <si>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</si>
  <si>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</si>
  <si>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</si>
  <si>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</si>
  <si>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</si>
  <si>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</si>
  <si>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</si>
  <si>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</si>
  <si>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</si>
  <si>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</si>
  <si>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</si>
  <si>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</si>
  <si>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</si>
  <si>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</si>
  <si>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</si>
  <si>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</si>
  <si>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</si>
  <si>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</si>
  <si>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</si>
  <si>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</si>
  <si>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</si>
  <si>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</si>
  <si>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</si>
  <si>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</si>
  <si>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</si>
  <si>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</si>
  <si>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</si>
  <si>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</si>
  <si>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</si>
  <si>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</si>
  <si>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</si>
  <si>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</si>
  <si>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</si>
  <si>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</si>
  <si>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</si>
  <si>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</si>
  <si>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</si>
  <si>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</si>
  <si>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</si>
  <si>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</si>
  <si>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</si>
  <si>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</si>
  <si>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</si>
  <si>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</si>
  <si>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</si>
  <si>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</si>
  <si>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</si>
  <si>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</si>
  <si>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</si>
  <si>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</si>
  <si>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</si>
  <si>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</si>
  <si>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</si>
  <si>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</si>
  <si>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</si>
  <si>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</si>
  <si>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</si>
  <si>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</si>
  <si>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</si>
  <si>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</si>
  <si>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</si>
  <si>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</si>
  <si>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</si>
  <si>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</si>
  <si>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</si>
  <si>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</si>
  <si>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</si>
  <si>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</si>
  <si>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</si>
  <si>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</si>
  <si>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</si>
  <si>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</si>
  <si>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</si>
  <si>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</si>
  <si>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</si>
  <si>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</si>
  <si>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</si>
  <si>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</si>
  <si>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</si>
  <si>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</si>
  <si>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</si>
  <si>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</si>
  <si>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</si>
  <si>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</si>
  <si>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</si>
  <si>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</si>
  <si>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</si>
  <si>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</si>
  <si>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</si>
  <si>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</si>
  <si>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</si>
  <si>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</si>
  <si>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</si>
  <si>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</si>
  <si>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</si>
  <si>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</si>
  <si>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</si>
  <si>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</si>
  <si>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</si>
  <si>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</si>
  <si>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</si>
  <si>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</si>
  <si>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</si>
  <si>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</si>
  <si>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</si>
  <si>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</si>
  <si>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</si>
  <si>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</si>
  <si>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</si>
  <si>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</si>
  <si>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</si>
  <si>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</si>
  <si>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</si>
  <si>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</si>
  <si>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</si>
  <si>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</si>
  <si>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</si>
  <si>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</si>
  <si>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</si>
  <si>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</si>
  <si>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</si>
  <si>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</si>
  <si>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</si>
  <si>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</si>
  <si>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</si>
  <si>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</si>
  <si>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</si>
  <si>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</si>
  <si>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</si>
  <si>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</si>
  <si>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</si>
  <si>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</si>
  <si>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</si>
  <si>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</si>
  <si>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</si>
  <si>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</si>
  <si>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</si>
  <si>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</si>
  <si>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</si>
  <si>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</si>
  <si>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</si>
  <si>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</si>
  <si>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</si>
  <si>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</si>
  <si>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</si>
  <si>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</si>
  <si>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</si>
  <si>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</si>
  <si>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</si>
  <si>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</si>
  <si>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</si>
  <si>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</si>
  <si>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</si>
  <si>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</si>
  <si>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</si>
  <si>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</si>
  <si>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</si>
  <si>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</si>
  <si>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</si>
  <si>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</si>
  <si>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</si>
  <si>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</si>
  <si>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</si>
  <si>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</si>
  <si>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</si>
  <si>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</si>
  <si>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</si>
  <si>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</si>
  <si>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</si>
  <si>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</si>
  <si>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</si>
  <si>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</si>
  <si>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</si>
  <si>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</si>
  <si>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</si>
  <si>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</si>
  <si>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</si>
  <si>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</si>
  <si>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</si>
  <si>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</si>
  <si>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</si>
  <si>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</si>
  <si>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</si>
  <si>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</si>
  <si>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</si>
  <si>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</si>
  <si>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</si>
  <si>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</si>
  <si>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</si>
  <si>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</si>
  <si>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</si>
  <si>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</si>
  <si>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</si>
  <si>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</si>
  <si>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</si>
  <si>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</si>
  <si>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</si>
  <si>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</si>
  <si>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</si>
  <si>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</si>
  <si>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</si>
  <si>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</si>
  <si>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</si>
  <si>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</si>
  <si>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</si>
  <si>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</si>
  <si>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</si>
  <si>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</si>
  <si>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</si>
  <si>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</si>
  <si>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</si>
  <si>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</si>
  <si>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</si>
  <si>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</si>
  <si>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</si>
  <si>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</si>
  <si>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</si>
  <si>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</si>
  <si>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</si>
  <si>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</si>
  <si>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</si>
  <si>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</si>
  <si>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</si>
  <si>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</si>
  <si>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</si>
  <si>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</si>
  <si>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</si>
  <si>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</si>
  <si>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</si>
  <si>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</si>
  <si>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</si>
  <si>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</si>
  <si>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</si>
  <si>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</si>
  <si>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</si>
  <si>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</si>
  <si>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</si>
  <si>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</si>
  <si>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</si>
  <si>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</si>
  <si>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</si>
  <si>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</si>
  <si>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</si>
  <si>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</si>
  <si>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</si>
  <si>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</si>
  <si>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</si>
  <si>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</si>
  <si>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</si>
  <si>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</si>
  <si>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</si>
  <si>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</si>
  <si>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</si>
  <si>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</si>
  <si>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</si>
  <si>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</si>
  <si>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</si>
  <si>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</si>
  <si>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</si>
  <si>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</si>
  <si>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</si>
  <si>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</si>
  <si>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</si>
  <si>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</si>
  <si>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</si>
  <si>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</si>
  <si>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</si>
  <si>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</si>
  <si>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</si>
  <si>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</si>
  <si>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</si>
  <si>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</si>
  <si>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</si>
  <si>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</si>
  <si>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</si>
  <si>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</si>
  <si>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</si>
  <si>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</si>
  <si>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</si>
  <si>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</si>
  <si>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</si>
  <si>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</si>
  <si>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</si>
  <si>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</si>
  <si>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</si>
  <si>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</si>
  <si>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</si>
  <si>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</si>
  <si>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</si>
  <si>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</si>
  <si>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</si>
  <si>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</si>
  <si>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</si>
  <si>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</si>
  <si>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</si>
  <si>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</si>
  <si>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</si>
  <si>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</si>
  <si>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</si>
  <si>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</si>
  <si>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</si>
  <si>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</si>
  <si>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</si>
  <si>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</si>
  <si>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</si>
  <si>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</si>
  <si>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</si>
  <si>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</si>
  <si>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</si>
  <si>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</si>
  <si>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</si>
  <si>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</si>
  <si>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</si>
  <si>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</si>
  <si>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</si>
  <si>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</si>
  <si>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</si>
  <si>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</si>
  <si>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</si>
  <si>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</si>
  <si>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</si>
  <si>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</si>
  <si>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</si>
  <si>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</si>
  <si>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</si>
  <si>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</si>
  <si>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</si>
  <si>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</si>
  <si>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</si>
  <si>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</si>
  <si>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</si>
  <si>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</si>
  <si>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</si>
  <si>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</si>
  <si>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</si>
  <si>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</si>
  <si>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</si>
  <si>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</si>
  <si>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</si>
  <si>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</si>
  <si>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</si>
  <si>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</si>
  <si>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</si>
  <si>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</si>
  <si>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</si>
  <si>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</si>
  <si>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</si>
  <si>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</si>
  <si>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</si>
  <si>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</si>
  <si>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</si>
  <si>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</si>
  <si>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</si>
  <si>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</si>
  <si>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</si>
  <si>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</si>
  <si>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</si>
  <si>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</si>
  <si>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</si>
  <si>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</si>
  <si>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</si>
  <si>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</si>
  <si>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</si>
  <si>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</si>
  <si>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</si>
  <si>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</si>
  <si>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</si>
  <si>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</si>
  <si>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</si>
  <si>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</si>
  <si>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</si>
  <si>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</si>
  <si>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</si>
  <si>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</si>
  <si>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</si>
  <si>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</si>
  <si>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</si>
  <si>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</si>
  <si>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</si>
  <si>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</si>
  <si>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</si>
  <si>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</si>
  <si>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</si>
  <si>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</si>
  <si>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</si>
  <si>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</si>
  <si>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</si>
  <si>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</si>
  <si>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</si>
  <si>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</si>
  <si>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</si>
  <si>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</si>
  <si>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</si>
  <si>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</si>
  <si>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</si>
  <si>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</si>
  <si>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</si>
  <si>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</si>
  <si>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</si>
  <si>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</si>
  <si>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</si>
  <si>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</si>
  <si>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</si>
  <si>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</si>
  <si>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</si>
  <si>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</si>
  <si>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</si>
  <si>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</si>
  <si>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</si>
  <si>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</si>
  <si>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</si>
  <si>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</si>
  <si>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</si>
  <si>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</si>
  <si>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</si>
  <si>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</si>
  <si>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</si>
  <si>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</si>
  <si>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</si>
  <si>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</si>
  <si>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</si>
  <si>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</si>
  <si>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</si>
  <si>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</si>
  <si>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</si>
  <si>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</si>
  <si>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</si>
  <si>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</si>
  <si>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</si>
  <si>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</si>
  <si>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</si>
  <si>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</si>
  <si>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</si>
  <si>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</si>
  <si>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</si>
  <si>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</si>
  <si>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</si>
  <si>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</si>
  <si>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</si>
  <si>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</si>
  <si>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</si>
  <si>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</si>
  <si>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</si>
  <si>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</si>
  <si>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</si>
  <si>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</si>
  <si>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</si>
  <si>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</si>
  <si>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</si>
  <si>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</si>
  <si>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</si>
  <si>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</si>
  <si>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</si>
  <si>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</si>
  <si>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</si>
  <si>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</si>
  <si>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</si>
  <si>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</si>
  <si>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</si>
  <si>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</si>
  <si>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</si>
  <si>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</si>
  <si>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</si>
  <si>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</si>
  <si>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</si>
  <si>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</si>
  <si>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</si>
  <si>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</si>
  <si>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</si>
  <si>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</si>
  <si>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</si>
  <si>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</si>
  <si>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</si>
  <si>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</si>
  <si>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</si>
  <si>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</si>
  <si>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</si>
  <si>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</si>
  <si>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</si>
  <si>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</si>
  <si>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</si>
  <si>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</si>
  <si>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</si>
  <si>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</si>
  <si>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</si>
  <si>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</si>
  <si>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</si>
  <si>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</si>
  <si>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</si>
  <si>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</si>
  <si>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</si>
  <si>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</si>
  <si>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</si>
  <si>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</si>
  <si>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</si>
  <si>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</si>
  <si>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</si>
  <si>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</si>
  <si>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</si>
  <si>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</si>
  <si>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</si>
  <si>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</si>
  <si>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</si>
  <si>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</si>
  <si>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</si>
  <si>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</si>
  <si>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</si>
  <si>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</si>
  <si>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</si>
  <si>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</si>
  <si>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</si>
  <si>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</si>
  <si>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</si>
  <si>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</si>
  <si>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</si>
  <si>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</si>
  <si>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</si>
  <si>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</si>
  <si>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</si>
  <si>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</si>
  <si>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</si>
  <si>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</si>
  <si>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</si>
  <si>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</si>
  <si>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</si>
  <si>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</si>
  <si>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</si>
  <si>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</si>
  <si>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</si>
  <si>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</si>
  <si>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</si>
  <si>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</si>
  <si>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</si>
  <si>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</si>
  <si>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</si>
  <si>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</si>
  <si>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</si>
  <si>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</si>
  <si>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</si>
  <si>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</si>
  <si>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</si>
  <si>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</si>
  <si>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</si>
  <si>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</si>
  <si>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</si>
  <si>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</si>
  <si>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</si>
  <si>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</si>
  <si>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</si>
  <si>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</si>
  <si>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</si>
  <si>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</si>
  <si>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</si>
  <si>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</si>
  <si>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</si>
  <si>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</si>
  <si>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</si>
  <si>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</si>
  <si>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</si>
  <si>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</si>
  <si>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</si>
  <si>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</si>
  <si>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</si>
  <si>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</si>
  <si>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</si>
  <si>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</si>
  <si>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</si>
  <si>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</si>
  <si>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</si>
  <si>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</si>
  <si>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</si>
  <si>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</si>
  <si>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</si>
  <si>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</si>
  <si>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</si>
  <si>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</si>
  <si>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</si>
  <si>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</si>
  <si>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</si>
  <si>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</si>
  <si>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</si>
  <si>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</si>
  <si>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</si>
  <si>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</si>
  <si>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</si>
  <si>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</si>
  <si>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</si>
  <si>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</si>
  <si>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</si>
  <si>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</si>
  <si>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</si>
  <si>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</si>
  <si>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</si>
  <si>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</si>
  <si>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</si>
  <si>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</si>
  <si>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</si>
  <si>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</si>
  <si>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</si>
  <si>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</si>
  <si>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</si>
  <si>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</si>
  <si>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</si>
  <si>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</si>
  <si>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</si>
  <si>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</si>
  <si>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</si>
  <si>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</si>
  <si>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</si>
  <si>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</si>
  <si>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</si>
  <si>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</si>
  <si>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</si>
  <si>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</si>
  <si>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</si>
  <si>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</si>
  <si>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</si>
  <si>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</si>
  <si>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</si>
  <si>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</si>
  <si>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</si>
  <si>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</si>
  <si>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</si>
  <si>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</si>
  <si>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</si>
  <si>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</si>
  <si>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</si>
  <si>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</si>
  <si>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</si>
  <si>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</si>
  <si>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</si>
  <si>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</si>
  <si>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</si>
  <si>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</si>
  <si>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</si>
  <si>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</si>
  <si>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</si>
  <si>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</si>
  <si>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</si>
  <si>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</si>
  <si>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</si>
  <si>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</si>
  <si>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</si>
  <si>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</si>
  <si>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</si>
  <si>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</si>
  <si>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</si>
  <si>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</si>
  <si>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</si>
  <si>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</si>
  <si>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</si>
  <si>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</si>
  <si>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</si>
  <si>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</si>
  <si>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</si>
  <si>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</si>
  <si>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</si>
  <si>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</si>
  <si>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</si>
  <si>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</si>
  <si>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</si>
  <si>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</si>
  <si>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</si>
  <si>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</si>
  <si>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</si>
  <si>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</si>
  <si>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</si>
  <si>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</si>
  <si>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</si>
  <si>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</si>
  <si>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</si>
  <si>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</si>
  <si>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</si>
  <si>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</si>
  <si>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</si>
  <si>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</si>
  <si>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</si>
  <si>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</si>
  <si>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</si>
  <si>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</si>
  <si>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</si>
  <si>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</si>
  <si>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</si>
  <si>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</si>
  <si>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</si>
  <si>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</si>
  <si>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</si>
  <si>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</si>
  <si>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</si>
  <si>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</si>
  <si>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</si>
  <si>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</si>
  <si>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</si>
  <si>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</si>
  <si>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</si>
  <si>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</si>
  <si>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</si>
  <si>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</si>
  <si>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</si>
  <si>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</si>
  <si>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</si>
  <si>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</si>
  <si>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</si>
  <si>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</si>
  <si>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</si>
  <si>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</si>
  <si>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</si>
  <si>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</si>
  <si>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</si>
  <si>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</si>
  <si>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</si>
  <si>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</si>
  <si>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</si>
  <si>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</si>
  <si>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</si>
  <si>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</si>
  <si>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</si>
  <si>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</si>
  <si>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</si>
  <si>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</si>
  <si>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</si>
  <si>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</si>
  <si>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</si>
  <si>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</si>
  <si>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</si>
  <si>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</si>
  <si>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</si>
  <si>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</si>
  <si>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</si>
  <si>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</si>
  <si>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</si>
  <si>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</si>
  <si>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</si>
  <si>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</si>
  <si>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</si>
  <si>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</si>
  <si>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</si>
  <si>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</si>
  <si>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</si>
  <si>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</si>
  <si>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</si>
  <si>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</si>
  <si>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</si>
  <si>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</si>
  <si>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</si>
  <si>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</si>
  <si>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</si>
  <si>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</si>
  <si>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</si>
  <si>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</si>
  <si>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</si>
  <si>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</si>
  <si>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</si>
  <si>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</si>
  <si>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</si>
  <si>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</si>
  <si>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</si>
  <si>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</si>
  <si>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</si>
  <si>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</si>
  <si>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</si>
  <si>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</si>
  <si>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</si>
  <si>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</si>
  <si>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</si>
  <si>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</si>
  <si>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</si>
  <si>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</si>
  <si>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</si>
  <si>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</si>
  <si>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</si>
  <si>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</si>
  <si>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</si>
  <si>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</si>
  <si>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</si>
  <si>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</si>
  <si>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</si>
  <si>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</si>
  <si>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</si>
  <si>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</si>
  <si>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</si>
  <si>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</si>
  <si>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</si>
  <si>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</si>
  <si>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</si>
  <si>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</si>
  <si>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</si>
  <si>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</si>
  <si>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</si>
  <si>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</si>
  <si>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</si>
  <si>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</si>
  <si>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</si>
  <si>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</si>
  <si>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</si>
  <si>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</si>
  <si>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</si>
  <si>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</si>
  <si>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</si>
  <si>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</si>
  <si>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</si>
  <si>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</si>
  <si>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</si>
  <si>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</si>
  <si>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</si>
  <si>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</si>
  <si>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</si>
  <si>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</si>
  <si>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</si>
  <si>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</si>
  <si>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</si>
  <si>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</si>
  <si>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</si>
  <si>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</si>
  <si>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</si>
  <si>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</si>
  <si>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</si>
  <si>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</si>
  <si>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</si>
  <si>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</si>
  <si>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</si>
  <si>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</si>
  <si>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</si>
  <si>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</si>
  <si>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</si>
  <si>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</si>
  <si>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</si>
  <si>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</si>
  <si>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</si>
  <si>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</si>
  <si>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</si>
  <si>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</si>
  <si>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</si>
  <si>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</si>
  <si>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</si>
  <si>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</si>
  <si>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</si>
  <si>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</si>
  <si>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</si>
  <si>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</si>
  <si>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</si>
  <si>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</si>
  <si>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</si>
  <si>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</si>
  <si>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</si>
  <si>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</si>
  <si>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</si>
  <si>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</si>
  <si>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</si>
  <si>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</si>
  <si>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</si>
  <si>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</si>
  <si>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</si>
  <si>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</si>
  <si>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</si>
  <si>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</si>
  <si>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</si>
  <si>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</si>
  <si>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</si>
  <si>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</si>
  <si>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</si>
  <si>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</si>
  <si>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</si>
  <si>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</si>
  <si>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</si>
  <si>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</si>
  <si>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</si>
  <si>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</si>
  <si>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</si>
  <si>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</si>
  <si>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</si>
  <si>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</si>
  <si>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</si>
  <si>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</si>
  <si>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</si>
  <si>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</si>
  <si>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</si>
  <si>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</si>
  <si>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</si>
  <si>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</si>
  <si>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</si>
  <si>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6. Cooking</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</si>
  <si>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</si>
  <si>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</si>
  <si>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</si>
  <si>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</si>
  <si>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</si>
  <si>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</si>
  <si>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</si>
  <si>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</si>
  <si>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</si>
  <si>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</si>
  <si>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</si>
  <si>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</si>
  <si>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</si>
  <si>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</si>
  <si>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</si>
  <si>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</si>
  <si>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</si>
  <si>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</si>
  <si>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</si>
  <si>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</si>
  <si>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</si>
  <si>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</si>
  <si>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</si>
  <si>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</si>
  <si>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</si>
  <si>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</si>
  <si>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</si>
  <si>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</si>
  <si>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</si>
  <si>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</si>
  <si>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</si>
  <si>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</si>
  <si>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</si>
  <si>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</si>
  <si>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</si>
  <si>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</si>
  <si>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</si>
  <si>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</si>
  <si>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</si>
  <si>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</si>
  <si>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</si>
  <si>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</si>
  <si>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</si>
  <si>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</si>
  <si>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</si>
  <si>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</si>
  <si>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</si>
  <si>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</si>
  <si>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</si>
  <si>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</si>
  <si>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</si>
  <si>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</si>
  <si>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</si>
  <si>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</si>
  <si>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</si>
  <si>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</si>
  <si>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</si>
  <si>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</si>
  <si>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</si>
  <si>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</si>
  <si>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</si>
  <si>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</si>
  <si>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</si>
  <si>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</si>
  <si>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</si>
  <si>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</si>
  <si>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</si>
  <si>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</si>
  <si>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</si>
  <si>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</si>
  <si>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</si>
  <si>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</si>
  <si>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</si>
  <si>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</si>
  <si>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</si>
  <si>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</si>
  <si>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</si>
  <si>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</si>
  <si>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</si>
  <si>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</si>
  <si>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</si>
  <si>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</si>
  <si>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</si>
  <si>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</si>
  <si>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</si>
  <si>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</si>
  <si>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1.0 - 1.5 Bar</t>
  </si>
  <si>
    <r>
      <t xml:space="preserve">Now place the </t>
    </r>
    <r>
      <rPr>
        <b/>
        <sz val="14"/>
        <color rgb="FFAB7942"/>
        <rFont val="Calibri"/>
        <family val="2"/>
        <scheme val="minor"/>
      </rPr>
      <t>Gyros</t>
    </r>
    <r>
      <rPr>
        <sz val="14"/>
        <color rgb="FFAB7942"/>
        <rFont val="Calibri"/>
        <family val="2"/>
        <scheme val="minor"/>
      </rPr>
      <t xml:space="preserve">  into the Tumbler and tumble as follows:</t>
    </r>
  </si>
  <si>
    <t>8 RPM</t>
  </si>
  <si>
    <r>
      <t xml:space="preserve">Pulled Pork </t>
    </r>
    <r>
      <rPr>
        <i/>
        <sz val="24"/>
        <color theme="0" tint="-0.499984740745262"/>
        <rFont val="Calibri"/>
        <family val="2"/>
        <scheme val="minor"/>
      </rPr>
      <t>Standard</t>
    </r>
  </si>
  <si>
    <t>Trim the Pork to desired shape. Remove all tissues and tendons.</t>
  </si>
  <si>
    <t>Place the Pork on the Conveyor Belt and start the machine. Inject as follows:</t>
  </si>
  <si>
    <t>Control the weight of the Pork after injecting to check if target increase is achieved. If not, add the missing brine into the Tumbler.</t>
  </si>
  <si>
    <t>Place the Pork and the prepared Brine into the Tumbler and tumble as follows:</t>
  </si>
  <si>
    <t>60 - 120 min</t>
  </si>
  <si>
    <t>Place the tumbled Pork into Charging Trolleys or Clean Meat Boxes.</t>
  </si>
  <si>
    <t>Allow the Pork to rest in the Chiller overnight to improve curing and binding.</t>
  </si>
  <si>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</si>
  <si>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</si>
  <si>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</si>
  <si>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</si>
  <si>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</si>
  <si>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</si>
  <si>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</si>
  <si>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</si>
  <si>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www.fiRecipes.com/PulledPorkIuT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</si>
</sst>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6" fillId="4" borderId="0" xfId="0" applyFont="1" applyFill="1" applyAlignment="1">
      <alignment horizontal="center" vertical="center"/>
    </xf>
    <xf numFmtId="3" fontId="25" fillId="3" borderId="0" xfId="0" applyNumberFormat="1" applyFont="1" applyFill="1" applyAlignment="1">
      <alignment horizontal="left"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28" fillId="3" borderId="0" xfId="0" applyNumberFormat="1" applyFont="1" applyFill="1" applyAlignment="1">
      <alignment horizontal="left" vertical="center"/>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0" xfId="0" applyFont="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0" fontId="77" fillId="3" borderId="0" xfId="0" applyFont="1" applyFill="1" applyAlignment="1">
      <alignment horizontal="left" vertical="top"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77" fillId="12" borderId="0" xfId="0" applyFont="1" applyFill="1" applyAlignment="1">
      <alignment horizontal="left" vertical="top" wrapText="1"/>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26" fillId="3" borderId="0" xfId="0" applyNumberFormat="1" applyFont="1" applyFill="1" applyAlignment="1">
      <alignment horizontal="center" vertical="top"/>
    </xf>
    <xf numFmtId="3" fontId="61" fillId="13" borderId="0" xfId="0" applyNumberFormat="1" applyFont="1" applyFill="1" applyAlignment="1">
      <alignment horizontal="left" vertical="center" wrapText="1"/>
    </xf>
    <xf numFmtId="49" fontId="82" fillId="5" borderId="43" xfId="0" applyNumberFormat="1" applyFont="1" applyFill="1" applyBorder="1" applyAlignment="1">
      <alignment horizontal="left" vertical="top" wrapText="1"/>
    </xf>
    <xf numFmtId="49" fontId="82" fillId="3" borderId="45" xfId="0" applyNumberFormat="1" applyFont="1" applyFill="1" applyBorder="1" applyAlignment="1">
      <alignment horizontal="left" vertical="top"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2" xfId="0" applyNumberFormat="1" applyFont="1" applyFill="1" applyBorder="1" applyAlignment="1">
      <alignment horizontal="left" vertical="top"/>
    </xf>
    <xf numFmtId="0" fontId="70" fillId="0" borderId="0" xfId="0" applyFont="1" applyAlignment="1">
      <alignment horizontal="left"/>
    </xf>
    <xf numFmtId="0" fontId="26" fillId="5" borderId="2" xfId="0" applyFont="1" applyFill="1" applyBorder="1" applyAlignment="1">
      <alignment horizontal="left" vertical="center"/>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0" fontId="57" fillId="0" borderId="0" xfId="0" applyFont="1" applyAlignment="1">
      <alignment horizontal="center" wrapText="1"/>
    </xf>
    <xf numFmtId="0" fontId="57" fillId="0" borderId="28" xfId="0" applyFont="1" applyBorder="1" applyAlignment="1">
      <alignment horizontal="center" wrapText="1"/>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49" fontId="83" fillId="3" borderId="43"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41" fillId="3" borderId="46" xfId="0" applyNumberFormat="1" applyFont="1" applyFill="1" applyBorder="1" applyAlignment="1">
      <alignment horizontal="left" vertical="top"/>
    </xf>
    <xf numFmtId="49" fontId="82" fillId="5" borderId="45" xfId="0" applyNumberFormat="1" applyFont="1" applyFill="1" applyBorder="1" applyAlignment="1">
      <alignment horizontal="left"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914400</xdr:colOff>
      <xdr:row>0</xdr:row>
      <xdr:rowOff>0</xdr:rowOff>
    </xdr:from>
    <xdr:to>
      <xdr:col>13</xdr:col>
      <xdr:colOff>152400</xdr:colOff>
      <xdr:row>6</xdr:row>
      <xdr:rowOff>83464</xdr:rowOff>
    </xdr:to>
    <xdr:pic>
      <xdr:nvPicPr>
        <xdr:cNvPr id="4" name="Bild 4">
          <a:extLst>
            <a:ext uri="{FF2B5EF4-FFF2-40B4-BE49-F238E27FC236}">
              <a16:creationId xmlns:a16="http://schemas.microsoft.com/office/drawing/2014/main" id="{162B2DD0-630D-6F47-A359-3B1A934AD61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27" t="15521" r="5090" b="23451"/>
        <a:stretch/>
      </xdr:blipFill>
      <xdr:spPr>
        <a:xfrm>
          <a:off x="6883400" y="0"/>
          <a:ext cx="3568700" cy="21662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Pork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90"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361"/>
      <c r="K1" s="361"/>
      <c r="L1" s="361"/>
      <c r="M1" s="361"/>
      <c r="N1" s="70"/>
      <c r="Q1" t="s">
        <v>178</v>
      </c>
    </row>
    <row r="2" spans="2:23" ht="24" x14ac:dyDescent="0.2">
      <c r="J2" s="183"/>
      <c r="K2" s="183"/>
      <c r="L2" s="183"/>
      <c r="M2" s="183"/>
      <c r="N2" s="70"/>
    </row>
    <row r="3" spans="2:23" ht="24" customHeight="1" x14ac:dyDescent="0.2">
      <c r="J3" s="183"/>
      <c r="K3" s="183"/>
      <c r="L3" s="183"/>
      <c r="M3" s="183"/>
      <c r="N3" s="70"/>
      <c r="O3" s="440" t="s">
        <v>3128</v>
      </c>
      <c r="P3" s="440"/>
      <c r="Q3" s="440"/>
      <c r="R3" s="440"/>
    </row>
    <row r="4" spans="2:23" ht="35" customHeight="1" x14ac:dyDescent="0.35">
      <c r="B4" s="369" t="s">
        <v>3090</v>
      </c>
      <c r="C4" s="369"/>
      <c r="D4" s="369"/>
      <c r="E4" s="369"/>
      <c r="F4" s="281" t="s">
        <v>67</v>
      </c>
      <c r="G4" s="415" t="s">
        <v>3017</v>
      </c>
      <c r="H4" s="415"/>
      <c r="I4" s="415"/>
      <c r="J4" s="416" t="s">
        <v>3105</v>
      </c>
      <c r="K4" s="416"/>
      <c r="L4" s="416"/>
      <c r="M4" s="416"/>
      <c r="N4" s="416"/>
      <c r="O4" s="440"/>
      <c r="P4" s="440"/>
      <c r="Q4" s="440"/>
      <c r="R4" s="440"/>
    </row>
    <row r="5" spans="2:23" ht="32" thickBot="1" x14ac:dyDescent="0.4">
      <c r="B5" s="428" t="s">
        <v>3202</v>
      </c>
      <c r="C5" s="428"/>
      <c r="D5" s="428"/>
      <c r="E5" s="428"/>
      <c r="F5" s="428"/>
      <c r="G5" s="428"/>
      <c r="H5" s="428"/>
      <c r="I5" s="428"/>
      <c r="J5" s="428"/>
      <c r="K5" s="428"/>
      <c r="L5" s="428"/>
      <c r="M5" s="428"/>
      <c r="N5" s="428"/>
      <c r="O5" s="441"/>
      <c r="P5" s="441"/>
      <c r="Q5" s="441"/>
      <c r="R5" s="441"/>
    </row>
    <row r="6" spans="2:23" ht="25" customHeight="1" thickBot="1" x14ac:dyDescent="0.4">
      <c r="B6" s="442" t="s">
        <v>3218</v>
      </c>
      <c r="C6" s="443"/>
      <c r="D6" s="443"/>
      <c r="E6" s="443"/>
      <c r="F6" s="443"/>
      <c r="G6" s="443"/>
      <c r="H6" s="443"/>
      <c r="I6" s="443"/>
      <c r="J6" s="443"/>
      <c r="K6" s="443"/>
      <c r="L6" s="443"/>
      <c r="M6" s="443"/>
      <c r="N6" s="443"/>
      <c r="O6" s="444" t="s">
        <v>3148</v>
      </c>
      <c r="P6" s="444"/>
      <c r="Q6" s="444"/>
      <c r="R6" s="444"/>
    </row>
    <row r="7" spans="2:23" s="7" customFormat="1" ht="25" customHeight="1" thickBot="1" x14ac:dyDescent="0.3">
      <c r="B7" s="362" t="s">
        <v>3135</v>
      </c>
      <c r="C7" s="362"/>
      <c r="D7" s="362"/>
      <c r="E7" s="362"/>
      <c r="F7" s="362"/>
      <c r="G7" s="362"/>
      <c r="H7" s="362"/>
      <c r="I7" s="362"/>
      <c r="J7" s="362"/>
      <c r="K7" s="362"/>
      <c r="L7" s="362"/>
      <c r="M7" s="362"/>
      <c r="N7" s="362"/>
      <c r="O7" s="411" t="s">
        <v>3159</v>
      </c>
      <c r="P7" s="411"/>
      <c r="Q7" s="411" t="s">
        <v>3040</v>
      </c>
      <c r="R7" s="411"/>
      <c r="S7" s="174"/>
      <c r="T7" s="174"/>
      <c r="U7" s="174"/>
    </row>
    <row r="8" spans="2:23" s="71" customFormat="1" ht="25" customHeight="1" thickBot="1" x14ac:dyDescent="0.3">
      <c r="B8" s="429" t="s">
        <v>67</v>
      </c>
      <c r="C8" s="429"/>
      <c r="D8" s="429"/>
      <c r="E8" s="429"/>
      <c r="F8" s="429"/>
      <c r="G8" s="429"/>
      <c r="H8" s="429"/>
      <c r="I8" s="429"/>
      <c r="J8" s="429"/>
      <c r="K8" s="90"/>
      <c r="L8" s="90"/>
      <c r="M8" s="278">
        <v>100</v>
      </c>
      <c r="N8" s="264" t="s">
        <v>0</v>
      </c>
      <c r="O8" s="265">
        <f>IF(MeatType="Beef",5,IF(MeatType="Chicken",2,IF(MeatType="Turkey",3,IF(MeatType="Pork",1.5,""))))</f>
        <v>1.5</v>
      </c>
      <c r="P8" s="266" t="str">
        <f>IF(O8&lt;&gt;"","EUR","")</f>
        <v>EUR</v>
      </c>
      <c r="Q8" s="267">
        <f>IF(O8&lt;&gt;"",ROUND(O8*M8,2),"")</f>
        <v>150</v>
      </c>
      <c r="R8" s="268" t="str">
        <f>IF(Q8&lt;&gt;"","EUR","")</f>
        <v>EUR</v>
      </c>
      <c r="S8" s="282"/>
      <c r="T8" s="174"/>
      <c r="U8" s="174"/>
      <c r="V8" s="7"/>
      <c r="W8" s="7"/>
    </row>
    <row r="9" spans="2:23" s="7" customFormat="1" ht="21" x14ac:dyDescent="0.25">
      <c r="B9" s="370" t="s">
        <v>1492</v>
      </c>
      <c r="C9" s="370"/>
      <c r="D9" s="370"/>
      <c r="E9" s="370"/>
      <c r="F9" s="370"/>
      <c r="G9" s="370"/>
      <c r="H9" s="370"/>
      <c r="I9" s="381"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25% - 40%</v>
      </c>
      <c r="J9" s="381"/>
      <c r="K9" s="381"/>
      <c r="L9" s="72" t="s">
        <v>1490</v>
      </c>
      <c r="M9" s="73">
        <v>0.4</v>
      </c>
      <c r="N9" s="263" t="s">
        <v>1493</v>
      </c>
      <c r="O9" s="218">
        <v>1</v>
      </c>
      <c r="P9" s="9"/>
      <c r="Q9" s="10"/>
      <c r="R9" s="11"/>
      <c r="S9" s="174"/>
      <c r="T9" s="174"/>
      <c r="U9" s="174"/>
    </row>
    <row r="10" spans="2:23" s="7" customFormat="1" ht="21" customHeight="1" thickBot="1" x14ac:dyDescent="0.3">
      <c r="B10" s="371" t="s">
        <v>3164</v>
      </c>
      <c r="C10" s="371"/>
      <c r="D10" s="371"/>
      <c r="E10" s="371"/>
      <c r="F10" s="371"/>
      <c r="G10" s="371"/>
      <c r="H10" s="371"/>
      <c r="I10" s="375"/>
      <c r="J10" s="375"/>
      <c r="K10" s="375"/>
      <c r="L10" s="74" t="s">
        <v>1490</v>
      </c>
      <c r="M10" s="75">
        <v>0.02</v>
      </c>
      <c r="N10" s="262" t="s">
        <v>1493</v>
      </c>
      <c r="O10" s="218"/>
      <c r="P10" s="9"/>
      <c r="Q10" s="10"/>
      <c r="R10" s="11"/>
      <c r="S10" s="409" t="s">
        <v>3145</v>
      </c>
      <c r="T10" s="409"/>
      <c r="U10" s="174"/>
    </row>
    <row r="11" spans="2:23" s="7" customFormat="1" ht="21" x14ac:dyDescent="0.25">
      <c r="B11" s="363" t="str">
        <f>"Water / Flaked Ice"</f>
        <v>Water / Flaked Ice</v>
      </c>
      <c r="C11" s="363"/>
      <c r="D11" s="363"/>
      <c r="E11" s="363"/>
      <c r="F11" s="363"/>
      <c r="G11" s="363"/>
      <c r="H11" s="363"/>
      <c r="I11" s="182"/>
      <c r="J11" s="91"/>
      <c r="K11" s="92">
        <f>Water2/Meat2</f>
        <v>0.3599</v>
      </c>
      <c r="L11" s="92"/>
      <c r="M11" s="93">
        <f>Meat2*YieldIncrease-SUM(M14:M17)</f>
        <v>35.99</v>
      </c>
      <c r="N11" s="182" t="str">
        <f>IF(M11&lt;&gt;"","kg","")</f>
        <v>kg</v>
      </c>
      <c r="O11" s="217">
        <v>0.01</v>
      </c>
      <c r="P11" s="15" t="str">
        <f>IF(O11&lt;&gt;"","EUR","")</f>
        <v>EUR</v>
      </c>
      <c r="Q11" s="12">
        <f>IF(O11&lt;&gt;"",ROUND(O11*M11,2),"")</f>
        <v>0.36</v>
      </c>
      <c r="R11" s="14" t="str">
        <f>IF(Q11&lt;&gt;"","EUR","")</f>
        <v>EUR</v>
      </c>
      <c r="S11" s="409"/>
      <c r="T11" s="409"/>
      <c r="U11" s="174"/>
    </row>
    <row r="12" spans="2:23" s="71" customFormat="1" ht="25" customHeight="1" x14ac:dyDescent="0.25">
      <c r="B12" s="364" t="s">
        <v>85</v>
      </c>
      <c r="C12" s="364"/>
      <c r="D12" s="364"/>
      <c r="E12" s="364"/>
      <c r="F12" s="364"/>
      <c r="G12" s="364"/>
      <c r="H12" s="364"/>
      <c r="I12" s="364"/>
      <c r="J12" s="276"/>
      <c r="K12" s="94">
        <f>MeatAndWater2/Meat2</f>
        <v>1.3599000000000001</v>
      </c>
      <c r="L12" s="94"/>
      <c r="M12" s="95">
        <f>SUM(Meat2,Water2)</f>
        <v>135.99</v>
      </c>
      <c r="N12" s="276" t="s">
        <v>0</v>
      </c>
      <c r="O12" s="216" t="str">
        <f>"ø "&amp;ROUND(Q12/SUM(Meat2,M11),3)</f>
        <v>ø 1,106</v>
      </c>
      <c r="P12" s="76" t="str">
        <f>P14</f>
        <v>EUR</v>
      </c>
      <c r="Q12" s="77">
        <f>SUM(Q8:Q11)</f>
        <v>150.36000000000001</v>
      </c>
      <c r="R12" s="76" t="str">
        <f>R14</f>
        <v>EUR</v>
      </c>
      <c r="S12" s="409"/>
      <c r="T12" s="409"/>
      <c r="U12" s="174"/>
      <c r="V12" s="7"/>
      <c r="W12" s="7"/>
    </row>
    <row r="13" spans="2:23" s="13" customFormat="1" ht="25" customHeight="1" x14ac:dyDescent="0.25">
      <c r="B13" s="373" t="s">
        <v>34</v>
      </c>
      <c r="C13" s="373"/>
      <c r="D13" s="96" t="s">
        <v>43</v>
      </c>
      <c r="E13" s="376" t="s">
        <v>3184</v>
      </c>
      <c r="F13" s="377"/>
      <c r="G13" s="377"/>
      <c r="H13" s="377"/>
      <c r="I13" s="377"/>
      <c r="J13" s="273"/>
      <c r="K13" s="373" t="s">
        <v>86</v>
      </c>
      <c r="L13" s="373"/>
      <c r="M13" s="373"/>
      <c r="N13" s="373"/>
      <c r="O13" s="413" t="s">
        <v>3158</v>
      </c>
      <c r="P13" s="413"/>
      <c r="Q13" s="413" t="s">
        <v>3040</v>
      </c>
      <c r="R13" s="413"/>
      <c r="S13" s="408" t="s">
        <v>1462</v>
      </c>
      <c r="T13" s="408"/>
      <c r="U13" s="174"/>
      <c r="V13" s="7"/>
    </row>
    <row r="14" spans="2:23" ht="21" customHeight="1" x14ac:dyDescent="0.25">
      <c r="B14" s="367">
        <v>11016</v>
      </c>
      <c r="C14" s="367"/>
      <c r="D14" s="97" t="str">
        <f>IF(ISNA(VLOOKUP(B14,AllData,2,0)),"",HYPERLINK(VLOOKUP(B14,AllData,7,0),"📌"))</f>
        <v>📌</v>
      </c>
      <c r="E14" s="374" t="str">
        <f>IF(ISNA(VLOOKUP(B14,AllData,2)),"",VLOOKUP(B14,AllData,2))</f>
        <v>AGAGEL® 400</v>
      </c>
      <c r="F14" s="374"/>
      <c r="G14" s="374"/>
      <c r="H14" s="374"/>
      <c r="I14" s="388"/>
      <c r="J14" s="388"/>
      <c r="K14" s="99">
        <f>M14/MeatAndWater2</f>
        <v>2.2648724170894915E-2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3.0799999999999996</v>
      </c>
      <c r="N14" s="101" t="str">
        <f t="shared" ref="N14:N19" si="0">IF(M14&lt;&gt;"","kg","")</f>
        <v>kg</v>
      </c>
      <c r="O14" s="215">
        <f t="shared" ref="O14:O17" si="1">IF(ISNA(VLOOKUP(B14,AllData,2,0)),"",VLOOKUP(B14,AllData,4,0))</f>
        <v>9.4</v>
      </c>
      <c r="P14" s="9" t="str">
        <f t="shared" ref="P14:P17" si="2">IF(O14&lt;&gt;"","EUR","")</f>
        <v>EUR</v>
      </c>
      <c r="Q14" s="10">
        <f t="shared" ref="Q14:Q17" si="3">IF(O14&lt;&gt;"",ROUND(O14*M14,2),"")</f>
        <v>28.95</v>
      </c>
      <c r="R14" s="11" t="str">
        <f>IF(Q14&lt;&gt;"","EUR","")</f>
        <v>EUR</v>
      </c>
      <c r="T14" s="283">
        <f>M14*VLOOKUP(B14,AllData,3)</f>
        <v>0.9119879999999998</v>
      </c>
      <c r="U14" s="83" t="s">
        <v>0</v>
      </c>
    </row>
    <row r="15" spans="2:23" ht="21" customHeight="1" x14ac:dyDescent="0.25">
      <c r="B15" s="367">
        <v>11049</v>
      </c>
      <c r="C15" s="367"/>
      <c r="D15" s="97" t="str">
        <f t="shared" ref="D15" si="4">IF(ISNA(VLOOKUP(B15,AllData,2,0)),"",HYPERLINK(VLOOKUP(B15,AllData,7,0),"📌"))</f>
        <v>📌</v>
      </c>
      <c r="E15" s="374" t="str">
        <f>IF(ISNA(VLOOKUP(B15,AllData,2)),"",VLOOKUP(B15,AllData,2))</f>
        <v>Curing Salt [Nitrite pickling salt]</v>
      </c>
      <c r="F15" s="374"/>
      <c r="G15" s="374"/>
      <c r="H15" s="374"/>
      <c r="I15" s="388"/>
      <c r="J15" s="388"/>
      <c r="K15" s="99">
        <f>M15/MeatAndWater2</f>
        <v>6.8387381425104787E-3</v>
      </c>
      <c r="L15" s="99"/>
      <c r="M15" s="100">
        <f>ROUND(SUM(Meat2,Meat2*YieldIncrease,OptionalIngredients)*SaltContent-SaltSum,2)</f>
        <v>0.93</v>
      </c>
      <c r="N15" s="101" t="str">
        <f>IF(M15&lt;&gt;"","kg","")</f>
        <v>kg</v>
      </c>
      <c r="O15" s="215">
        <f t="shared" si="1"/>
        <v>0.7</v>
      </c>
      <c r="P15" s="9" t="str">
        <f t="shared" si="2"/>
        <v>EUR</v>
      </c>
      <c r="Q15" s="10">
        <f t="shared" si="3"/>
        <v>0.65</v>
      </c>
      <c r="R15" s="11" t="str">
        <f t="shared" ref="R15:R19" si="5">IF(Q15&lt;&gt;"","EUR","")</f>
        <v>EUR</v>
      </c>
      <c r="T15" s="283"/>
    </row>
    <row r="16" spans="2:23" ht="21" x14ac:dyDescent="0.25">
      <c r="B16" s="378">
        <f>IF(G4="Tumbled",11055,IF(G4="Injected &amp; Tumbled",11069,""))</f>
        <v>11069</v>
      </c>
      <c r="C16" s="378"/>
      <c r="D16" s="249" t="str">
        <f t="shared" ref="D16:D17" si="6">IF(ISNA(VLOOKUP(B16,AllData,2,0)),"",HYPERLINK(VLOOKUP(B16,AllData,7,0),"📌"))</f>
        <v>📌</v>
      </c>
      <c r="E16" s="410" t="str">
        <f>IF(ISNA(VLOOKUP(B16,AllData,2)),"",VLOOKUP(B16,AllData,2))</f>
        <v>FibreMaxx WF 90</v>
      </c>
      <c r="F16" s="410"/>
      <c r="G16" s="410"/>
      <c r="H16" s="410"/>
      <c r="I16" s="277" t="s">
        <v>3179</v>
      </c>
      <c r="J16" s="259" t="s">
        <v>1490</v>
      </c>
      <c r="K16" s="250" t="s">
        <v>3149</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3">
        <f>M16*VLOOKUP(B16,AllData,3)</f>
        <v>0</v>
      </c>
      <c r="U16" s="83" t="s">
        <v>0</v>
      </c>
    </row>
    <row r="17" spans="2:22" ht="21" x14ac:dyDescent="0.25">
      <c r="B17" s="367">
        <v>11146</v>
      </c>
      <c r="C17" s="367"/>
      <c r="D17" s="97" t="str">
        <f t="shared" si="6"/>
        <v>📌</v>
      </c>
      <c r="E17" s="374" t="str">
        <f t="shared" ref="E17" si="7">IF(ISNA(VLOOKUP(B17,AllData,2)),"",VLOOKUP(B17,AllData,2))</f>
        <v>RoMaxx MB liquid</v>
      </c>
      <c r="F17" s="374"/>
      <c r="G17" s="374"/>
      <c r="H17" s="374"/>
      <c r="I17" s="98" t="s">
        <v>3180</v>
      </c>
      <c r="J17" s="258" t="s">
        <v>1490</v>
      </c>
      <c r="K17" s="335" t="s">
        <v>3147</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3">
        <f>M17*VLOOKUP(B17,AllData,3)</f>
        <v>0</v>
      </c>
      <c r="U17" s="83" t="s">
        <v>0</v>
      </c>
    </row>
    <row r="18" spans="2:22" s="13" customFormat="1" ht="25" customHeight="1" x14ac:dyDescent="0.25">
      <c r="B18" s="170"/>
      <c r="C18" s="170"/>
      <c r="D18" s="102"/>
      <c r="E18" s="372" t="s">
        <v>3183</v>
      </c>
      <c r="F18" s="372"/>
      <c r="G18" s="372"/>
      <c r="H18" s="372"/>
      <c r="I18" s="372"/>
      <c r="J18" s="256"/>
      <c r="K18" s="103" t="s">
        <v>1494</v>
      </c>
      <c r="L18" s="257"/>
      <c r="M18" s="103">
        <f>SUM(MeatAndWater2,M14:M17)</f>
        <v>140.00000000000003</v>
      </c>
      <c r="N18" s="104" t="s">
        <v>0</v>
      </c>
      <c r="O18" s="412"/>
      <c r="P18" s="412"/>
      <c r="Q18" s="412"/>
      <c r="R18" s="412"/>
      <c r="S18" s="284"/>
      <c r="T18" s="283"/>
      <c r="U18" s="83"/>
      <c r="V18" s="7"/>
    </row>
    <row r="19" spans="2:22" ht="21" customHeight="1" x14ac:dyDescent="0.25">
      <c r="B19" s="368">
        <v>52005</v>
      </c>
      <c r="C19" s="368"/>
      <c r="D19" s="97" t="str">
        <f t="shared" ref="D19" si="9">IF(ISNA(VLOOKUP(B19,AllData,2,0)),"",HYPERLINK(VLOOKUP(B19,AllData,7,0),"📌"))</f>
        <v>📌</v>
      </c>
      <c r="E19" s="379" t="str">
        <f t="shared" ref="E19" si="10">IF(ISNA(VLOOKUP(B19,AllData,2)),"",VLOOKUP(B19,AllData,2))</f>
        <v>BBQ-Seasoning</v>
      </c>
      <c r="F19" s="379"/>
      <c r="G19" s="379"/>
      <c r="H19" s="379"/>
      <c r="I19" s="274"/>
      <c r="J19" s="258" t="s">
        <v>1490</v>
      </c>
      <c r="K19" s="279" t="s">
        <v>3146</v>
      </c>
      <c r="L19" s="261" t="s">
        <v>1493</v>
      </c>
      <c r="M19" s="105">
        <f>IF(K19="use",ROUND(2%*(Meat2+Meat2*YieldIncrease),2),0)</f>
        <v>2.8</v>
      </c>
      <c r="N19" s="106" t="str">
        <f t="shared" si="0"/>
        <v>kg</v>
      </c>
      <c r="O19" s="215">
        <f t="shared" ref="O19" si="11">IF(ISNA(VLOOKUP(B19,AllData,2,0)),"",VLOOKUP(B19,AllData,4,0))</f>
        <v>8.4</v>
      </c>
      <c r="P19" s="9" t="str">
        <f t="shared" ref="P19" si="12">IF(O19&lt;&gt;"","EUR","")</f>
        <v>EUR</v>
      </c>
      <c r="Q19" s="10">
        <f t="shared" ref="Q19" si="13">IF(O19&lt;&gt;"",ROUND(O19*M19,2),"")</f>
        <v>23.52</v>
      </c>
      <c r="R19" s="11" t="str">
        <f t="shared" si="5"/>
        <v>EUR</v>
      </c>
      <c r="T19" s="283">
        <f t="shared" ref="T19" si="14">M19*VLOOKUP(B19,AllData,3)</f>
        <v>1.0122</v>
      </c>
      <c r="U19" s="83" t="s">
        <v>0</v>
      </c>
    </row>
    <row r="20" spans="2:22" ht="22" thickBot="1" x14ac:dyDescent="0.3">
      <c r="B20" s="402" t="s">
        <v>35</v>
      </c>
      <c r="C20" s="402"/>
      <c r="D20" s="402"/>
      <c r="E20" s="402"/>
      <c r="F20" s="402"/>
      <c r="G20" s="402"/>
      <c r="H20" s="402"/>
      <c r="I20" s="402"/>
      <c r="J20" s="270"/>
      <c r="K20" s="107">
        <f>M20/MeatAndWater2</f>
        <v>5.0077211559673519E-2</v>
      </c>
      <c r="L20" s="107"/>
      <c r="M20" s="108">
        <f>SUM(M14:M19)-M18</f>
        <v>6.8100000000000023</v>
      </c>
      <c r="N20" s="246" t="s">
        <v>0</v>
      </c>
      <c r="O20" s="232" t="str">
        <f>"ø "&amp;ROUND(Q20/M20,2)</f>
        <v>ø 7,8</v>
      </c>
      <c r="P20" s="110" t="str">
        <f>P14</f>
        <v>EUR</v>
      </c>
      <c r="Q20" s="111">
        <f>SUM(Q14:Q19)</f>
        <v>53.12</v>
      </c>
      <c r="R20" s="112" t="str">
        <f>R14</f>
        <v>EUR</v>
      </c>
      <c r="S20" s="283" t="s">
        <v>3144</v>
      </c>
      <c r="T20" s="283">
        <f>SUM(T14:T19)</f>
        <v>1.9241879999999998</v>
      </c>
      <c r="U20" s="83" t="s">
        <v>0</v>
      </c>
    </row>
    <row r="21" spans="2:22" ht="35" customHeight="1" thickBot="1" x14ac:dyDescent="0.25">
      <c r="B21" s="365" t="s">
        <v>3046</v>
      </c>
      <c r="C21" s="365"/>
      <c r="D21" s="365"/>
      <c r="E21" s="365"/>
      <c r="F21" s="365"/>
      <c r="G21" s="365"/>
      <c r="H21" s="365"/>
      <c r="I21" s="365"/>
      <c r="J21" s="271"/>
      <c r="K21" s="366">
        <f>ROUND(MeatAndWater2+M20,2)</f>
        <v>142.80000000000001</v>
      </c>
      <c r="L21" s="366"/>
      <c r="M21" s="366"/>
      <c r="N21" s="113" t="s">
        <v>0</v>
      </c>
      <c r="O21" s="214">
        <f>Q21/K21</f>
        <v>1.4249299719887956</v>
      </c>
      <c r="P21" s="193" t="str">
        <f>"€ / kg"</f>
        <v>€ / kg</v>
      </c>
      <c r="Q21" s="194">
        <f>SUM(Q12,Q20)</f>
        <v>203.48000000000002</v>
      </c>
      <c r="R21" s="195" t="str">
        <f>R14</f>
        <v>EUR</v>
      </c>
      <c r="U21" s="226"/>
    </row>
    <row r="22" spans="2:22" ht="11" customHeight="1" x14ac:dyDescent="0.2">
      <c r="B22" s="114"/>
      <c r="C22" s="114"/>
      <c r="D22" s="114"/>
      <c r="E22" s="114"/>
      <c r="F22" s="114"/>
      <c r="G22" s="291"/>
      <c r="H22" s="114"/>
      <c r="I22" s="114"/>
      <c r="J22" s="114"/>
      <c r="K22" s="114"/>
      <c r="L22" s="114"/>
      <c r="M22" s="114"/>
      <c r="N22" s="114"/>
      <c r="O22" s="196"/>
      <c r="P22" s="197"/>
      <c r="Q22" s="198"/>
      <c r="R22" s="197"/>
    </row>
    <row r="23" spans="2:22" s="13" customFormat="1" ht="26" customHeight="1" x14ac:dyDescent="0.25">
      <c r="B23" s="395" t="s">
        <v>34</v>
      </c>
      <c r="C23" s="395"/>
      <c r="D23" s="118" t="s">
        <v>43</v>
      </c>
      <c r="E23" s="382" t="s">
        <v>3140</v>
      </c>
      <c r="F23" s="382"/>
      <c r="G23" s="382"/>
      <c r="H23" s="382"/>
      <c r="I23" s="382"/>
      <c r="J23" s="275"/>
      <c r="K23" s="119"/>
      <c r="L23" s="119"/>
      <c r="M23" s="120"/>
      <c r="N23" s="120"/>
      <c r="O23" s="417" t="s">
        <v>3157</v>
      </c>
      <c r="P23" s="417"/>
      <c r="Q23" s="417"/>
      <c r="R23" s="417"/>
      <c r="S23" s="174"/>
      <c r="T23" s="284"/>
      <c r="U23" s="284"/>
    </row>
    <row r="24" spans="2:22" ht="21" customHeight="1" x14ac:dyDescent="0.2">
      <c r="B24" s="418">
        <v>89041</v>
      </c>
      <c r="C24" s="418"/>
      <c r="D24" s="219" t="str">
        <f t="shared" ref="D24:D29" si="15">IF(ISNA(VLOOKUP(B24,AllData,2,0)),"",HYPERLINK(VLOOKUP(B24,AllData,7,0),"📌"))</f>
        <v>📌</v>
      </c>
      <c r="E24" s="242" t="str">
        <f t="shared" ref="E24:E29" si="16">IF(ISNA(VLOOKUP(B24,AllData,2,0)),"",VLOOKUP(B24,AllData,2,0))</f>
        <v>Brine Injector Dagema</v>
      </c>
      <c r="F24" s="242"/>
      <c r="G24" s="292"/>
      <c r="H24" s="242"/>
      <c r="I24" s="388" t="s">
        <v>3191</v>
      </c>
      <c r="J24" s="388"/>
      <c r="K24" s="388"/>
      <c r="L24" s="388"/>
      <c r="M24" s="388"/>
      <c r="N24" s="388"/>
      <c r="O24" s="414" t="s">
        <v>3139</v>
      </c>
      <c r="P24" s="414"/>
      <c r="Q24" s="414"/>
      <c r="R24" s="414"/>
    </row>
    <row r="25" spans="2:22" ht="21" customHeight="1" x14ac:dyDescent="0.2">
      <c r="B25" s="418">
        <v>88071</v>
      </c>
      <c r="C25" s="418"/>
      <c r="D25" s="219" t="str">
        <f t="shared" si="15"/>
        <v>📌</v>
      </c>
      <c r="E25" s="242" t="str">
        <f t="shared" si="16"/>
        <v>Tumbler-Marinator by GLASS - 50 l</v>
      </c>
      <c r="F25" s="242"/>
      <c r="G25" s="292"/>
      <c r="H25" s="242"/>
      <c r="I25" s="388" t="s">
        <v>3192</v>
      </c>
      <c r="J25" s="388"/>
      <c r="K25" s="388"/>
      <c r="L25" s="388"/>
      <c r="M25" s="388"/>
      <c r="N25" s="388"/>
      <c r="O25" s="414"/>
      <c r="P25" s="414"/>
      <c r="Q25" s="414"/>
      <c r="R25" s="414"/>
      <c r="U25"/>
    </row>
    <row r="26" spans="2:22" ht="21" x14ac:dyDescent="0.2">
      <c r="B26" s="418">
        <v>88081</v>
      </c>
      <c r="C26" s="418"/>
      <c r="D26" s="219" t="str">
        <f t="shared" si="15"/>
        <v>📌</v>
      </c>
      <c r="E26" s="242" t="str">
        <f t="shared" si="16"/>
        <v>Meat Mincer TGR-103 COOL by Delitech</v>
      </c>
      <c r="F26" s="242"/>
      <c r="G26" s="292"/>
      <c r="H26" s="242"/>
      <c r="I26" s="388" t="s">
        <v>3193</v>
      </c>
      <c r="J26" s="388"/>
      <c r="K26" s="388"/>
      <c r="L26" s="388"/>
      <c r="M26" s="388"/>
      <c r="N26" s="388"/>
      <c r="O26" s="414"/>
      <c r="P26" s="414"/>
      <c r="Q26" s="414"/>
      <c r="R26" s="414"/>
      <c r="U26"/>
    </row>
    <row r="27" spans="2:22" ht="21" x14ac:dyDescent="0.2">
      <c r="B27" s="418">
        <v>81020</v>
      </c>
      <c r="C27" s="418"/>
      <c r="D27" s="219" t="str">
        <f t="shared" si="15"/>
        <v>📌</v>
      </c>
      <c r="E27" s="242" t="str">
        <f t="shared" si="16"/>
        <v>Meatbox E2</v>
      </c>
      <c r="F27" s="242"/>
      <c r="G27" s="292"/>
      <c r="H27" s="242"/>
      <c r="I27" s="388" t="s">
        <v>3194</v>
      </c>
      <c r="J27" s="388"/>
      <c r="K27" s="388"/>
      <c r="L27" s="388"/>
      <c r="M27" s="388"/>
      <c r="N27" s="388"/>
      <c r="O27" s="414"/>
      <c r="P27" s="414"/>
      <c r="Q27" s="414"/>
      <c r="R27" s="414"/>
      <c r="U27"/>
    </row>
    <row r="28" spans="2:22" ht="21" x14ac:dyDescent="0.2">
      <c r="B28" s="418">
        <v>89021</v>
      </c>
      <c r="C28" s="418"/>
      <c r="D28" s="219" t="str">
        <f t="shared" si="15"/>
        <v>📌</v>
      </c>
      <c r="E28" s="242" t="str">
        <f t="shared" si="16"/>
        <v>Charging Trolley 200 l</v>
      </c>
      <c r="F28" s="242"/>
      <c r="G28" s="292"/>
      <c r="H28" s="242"/>
      <c r="I28" s="388" t="s">
        <v>3156</v>
      </c>
      <c r="J28" s="388"/>
      <c r="K28" s="388"/>
      <c r="L28" s="388"/>
      <c r="M28" s="388"/>
      <c r="N28" s="388"/>
      <c r="O28" s="414"/>
      <c r="P28" s="414"/>
      <c r="Q28" s="414"/>
      <c r="R28" s="414"/>
      <c r="U28"/>
    </row>
    <row r="29" spans="2:22" ht="21" x14ac:dyDescent="0.2">
      <c r="B29" s="418">
        <v>87020</v>
      </c>
      <c r="C29" s="418"/>
      <c r="D29" s="219" t="str">
        <f t="shared" si="15"/>
        <v>📌</v>
      </c>
      <c r="E29" s="374" t="str">
        <f t="shared" si="16"/>
        <v>Sous-Vide Vacuum Pouches</v>
      </c>
      <c r="F29" s="374"/>
      <c r="G29" s="374"/>
      <c r="H29" s="374"/>
      <c r="I29" s="388" t="s">
        <v>3195</v>
      </c>
      <c r="J29" s="388"/>
      <c r="K29" s="388"/>
      <c r="L29" s="388"/>
      <c r="M29" s="388"/>
      <c r="N29" s="388"/>
      <c r="O29" s="414"/>
      <c r="P29" s="414"/>
      <c r="Q29" s="414"/>
      <c r="R29" s="414"/>
      <c r="U29"/>
    </row>
    <row r="30" spans="2:22" ht="21" x14ac:dyDescent="0.2">
      <c r="B30" s="287"/>
      <c r="C30" s="287"/>
      <c r="D30" s="121" t="s">
        <v>60</v>
      </c>
      <c r="E30" s="419" t="s">
        <v>3044</v>
      </c>
      <c r="F30" s="419"/>
      <c r="G30" s="419"/>
      <c r="H30" s="419"/>
      <c r="I30" s="419"/>
      <c r="J30" s="419"/>
      <c r="K30" s="419"/>
      <c r="L30" s="419"/>
      <c r="M30" s="419"/>
      <c r="N30" s="280"/>
      <c r="O30" s="414"/>
      <c r="P30" s="414"/>
      <c r="Q30" s="414"/>
      <c r="R30" s="414"/>
      <c r="U30"/>
    </row>
    <row r="31" spans="2:22" ht="10" customHeight="1" thickBot="1" x14ac:dyDescent="0.25">
      <c r="B31" s="115"/>
      <c r="C31" s="115"/>
      <c r="D31" s="115"/>
      <c r="E31" s="115"/>
      <c r="F31" s="115"/>
      <c r="G31" s="293"/>
      <c r="H31" s="115"/>
      <c r="I31" s="115"/>
      <c r="J31" s="115"/>
      <c r="K31" s="115"/>
      <c r="L31" s="115"/>
      <c r="M31" s="115"/>
      <c r="N31" s="115"/>
      <c r="O31" s="414"/>
      <c r="P31" s="414"/>
      <c r="Q31" s="414"/>
      <c r="R31" s="414"/>
    </row>
    <row r="32" spans="2:22" ht="25" thickTop="1" x14ac:dyDescent="0.25">
      <c r="B32" s="422" t="s">
        <v>3011</v>
      </c>
      <c r="C32" s="423"/>
      <c r="D32" s="423"/>
      <c r="E32" s="423"/>
      <c r="F32" s="423"/>
      <c r="G32" s="423"/>
      <c r="H32" s="423"/>
      <c r="I32" s="423"/>
      <c r="J32" s="423"/>
      <c r="K32" s="423"/>
      <c r="L32" s="423"/>
      <c r="M32" s="423"/>
      <c r="N32" s="424"/>
      <c r="O32" s="414"/>
      <c r="P32" s="414"/>
      <c r="Q32" s="414"/>
      <c r="R32" s="414"/>
      <c r="S32" s="285"/>
      <c r="T32" s="285"/>
      <c r="U32" s="285"/>
    </row>
    <row r="33" spans="2:24" ht="19" customHeight="1" x14ac:dyDescent="0.2">
      <c r="B33" s="188" t="s">
        <v>3010</v>
      </c>
      <c r="C33" s="386" t="s">
        <v>3203</v>
      </c>
      <c r="D33" s="386"/>
      <c r="E33" s="386"/>
      <c r="F33" s="386"/>
      <c r="G33" s="386"/>
      <c r="H33" s="386"/>
      <c r="I33" s="386"/>
      <c r="J33" s="386"/>
      <c r="K33" s="386"/>
      <c r="L33" s="386"/>
      <c r="M33" s="386"/>
      <c r="N33" s="387"/>
      <c r="O33" s="227"/>
      <c r="P33" s="227"/>
      <c r="Q33" s="227"/>
      <c r="R33" s="227"/>
      <c r="S33" s="286"/>
      <c r="T33" s="286"/>
      <c r="U33" s="286"/>
      <c r="V33" s="87"/>
      <c r="W33" s="87"/>
      <c r="X33" s="87"/>
    </row>
    <row r="34" spans="2:24" ht="20" customHeight="1" thickBot="1" x14ac:dyDescent="0.25">
      <c r="B34" s="189" t="s">
        <v>3010</v>
      </c>
      <c r="C34" s="425" t="s">
        <v>3041</v>
      </c>
      <c r="D34" s="425"/>
      <c r="E34" s="425"/>
      <c r="F34" s="425"/>
      <c r="G34" s="425"/>
      <c r="H34" s="425"/>
      <c r="I34" s="425"/>
      <c r="J34" s="425"/>
      <c r="K34" s="425"/>
      <c r="L34" s="425"/>
      <c r="M34" s="425"/>
      <c r="N34" s="426"/>
      <c r="O34" s="227"/>
      <c r="P34" s="227"/>
      <c r="Q34" s="227"/>
      <c r="R34" s="227"/>
    </row>
    <row r="35" spans="2:24" ht="10" customHeight="1" thickTop="1" thickBot="1" x14ac:dyDescent="0.25">
      <c r="B35" s="190"/>
      <c r="C35" s="190"/>
      <c r="D35" s="190"/>
      <c r="E35" s="190"/>
      <c r="F35" s="190"/>
      <c r="G35" s="294"/>
      <c r="H35" s="190"/>
      <c r="I35" s="190"/>
      <c r="J35" s="190"/>
      <c r="K35" s="190"/>
      <c r="L35" s="190"/>
      <c r="M35" s="190"/>
      <c r="N35" s="190"/>
      <c r="O35" s="227"/>
      <c r="P35" s="227"/>
      <c r="Q35" s="227"/>
      <c r="R35" s="227"/>
    </row>
    <row r="36" spans="2:24" ht="25" customHeight="1" thickTop="1" x14ac:dyDescent="0.2">
      <c r="B36" s="389" t="s">
        <v>3012</v>
      </c>
      <c r="C36" s="390"/>
      <c r="D36" s="390"/>
      <c r="E36" s="390"/>
      <c r="F36" s="390"/>
      <c r="G36" s="390"/>
      <c r="H36" s="390"/>
      <c r="I36" s="269"/>
      <c r="J36" s="187"/>
      <c r="K36" s="398" t="s">
        <v>3163</v>
      </c>
      <c r="L36" s="398"/>
      <c r="M36" s="398"/>
      <c r="N36" s="399"/>
      <c r="O36" s="227"/>
      <c r="P36" s="227"/>
      <c r="Q36" s="227"/>
      <c r="R36" s="227"/>
    </row>
    <row r="37" spans="2:24" ht="20" customHeight="1" x14ac:dyDescent="0.2">
      <c r="B37" s="186" t="s">
        <v>3010</v>
      </c>
      <c r="C37" s="407" t="s">
        <v>3047</v>
      </c>
      <c r="D37" s="407"/>
      <c r="E37" s="407"/>
      <c r="F37" s="407"/>
      <c r="G37" s="407"/>
      <c r="H37" s="407"/>
      <c r="I37" s="407"/>
      <c r="J37" s="228"/>
      <c r="K37" s="400"/>
      <c r="L37" s="400"/>
      <c r="M37" s="400"/>
      <c r="N37" s="401"/>
      <c r="O37" s="227"/>
      <c r="P37" s="227"/>
      <c r="Q37" s="227"/>
      <c r="R37" s="227"/>
    </row>
    <row r="38" spans="2:24" ht="19" customHeight="1" x14ac:dyDescent="0.2">
      <c r="B38" s="186" t="s">
        <v>3010</v>
      </c>
      <c r="C38" s="407" t="s">
        <v>3009</v>
      </c>
      <c r="D38" s="407"/>
      <c r="E38" s="407"/>
      <c r="F38" s="407"/>
      <c r="G38" s="407"/>
      <c r="H38" s="407"/>
      <c r="I38" s="407"/>
      <c r="J38" s="228"/>
      <c r="K38" s="400"/>
      <c r="L38" s="400"/>
      <c r="M38" s="400"/>
      <c r="N38" s="401"/>
    </row>
    <row r="39" spans="2:24" ht="20" customHeight="1" x14ac:dyDescent="0.2">
      <c r="B39" s="186" t="s">
        <v>3010</v>
      </c>
      <c r="C39" s="407" t="s">
        <v>3141</v>
      </c>
      <c r="D39" s="407"/>
      <c r="E39" s="407"/>
      <c r="F39" s="407"/>
      <c r="G39" s="407"/>
      <c r="H39" s="407"/>
      <c r="I39" s="407"/>
      <c r="J39" s="228"/>
      <c r="K39" s="400"/>
      <c r="L39" s="400"/>
      <c r="M39" s="400"/>
      <c r="N39" s="401"/>
    </row>
    <row r="40" spans="2:24" ht="10" customHeight="1" x14ac:dyDescent="0.2">
      <c r="B40" s="186"/>
      <c r="C40" s="228"/>
      <c r="D40" s="228"/>
      <c r="E40" s="228"/>
      <c r="F40" s="228"/>
      <c r="G40" s="295"/>
      <c r="H40" s="228"/>
      <c r="I40" s="228"/>
      <c r="J40" s="228"/>
      <c r="K40" s="240"/>
      <c r="L40" s="248"/>
      <c r="M40" s="240"/>
      <c r="N40" s="241"/>
    </row>
    <row r="41" spans="2:24" ht="20" customHeight="1" thickBot="1" x14ac:dyDescent="0.25">
      <c r="B41" s="383" t="s">
        <v>3175</v>
      </c>
      <c r="C41" s="384"/>
      <c r="D41" s="384"/>
      <c r="E41" s="384"/>
      <c r="F41" s="384"/>
      <c r="G41" s="384"/>
      <c r="H41" s="384"/>
      <c r="I41" s="384"/>
      <c r="J41" s="384"/>
      <c r="K41" s="384"/>
      <c r="L41" s="384"/>
      <c r="M41" s="384"/>
      <c r="N41" s="385"/>
    </row>
    <row r="42" spans="2:24" ht="10" customHeight="1" thickTop="1" thickBot="1" x14ac:dyDescent="0.25">
      <c r="B42" s="190"/>
      <c r="C42" s="190"/>
      <c r="D42" s="190"/>
      <c r="E42" s="190"/>
      <c r="F42" s="190"/>
      <c r="G42" s="190"/>
      <c r="H42" s="190"/>
      <c r="I42" s="190"/>
      <c r="J42" s="190"/>
      <c r="K42" s="190"/>
      <c r="L42" s="190"/>
      <c r="M42" s="190"/>
      <c r="N42"/>
      <c r="R42" s="83"/>
      <c r="U42"/>
    </row>
    <row r="43" spans="2:24" ht="25" thickTop="1" x14ac:dyDescent="0.2">
      <c r="B43" s="422" t="s">
        <v>3013</v>
      </c>
      <c r="C43" s="423"/>
      <c r="D43" s="423"/>
      <c r="E43" s="423"/>
      <c r="F43" s="423"/>
      <c r="G43" s="423"/>
      <c r="H43" s="423"/>
      <c r="I43" s="423"/>
      <c r="J43" s="423"/>
      <c r="K43" s="423"/>
      <c r="L43" s="423"/>
      <c r="M43" s="423"/>
      <c r="N43" s="424"/>
      <c r="R43" s="83"/>
      <c r="U43"/>
    </row>
    <row r="44" spans="2:24" ht="20" customHeight="1" x14ac:dyDescent="0.2">
      <c r="B44" s="188" t="s">
        <v>3010</v>
      </c>
      <c r="C44" s="386" t="s">
        <v>3050</v>
      </c>
      <c r="D44" s="386"/>
      <c r="E44" s="386"/>
      <c r="F44" s="386"/>
      <c r="G44" s="386"/>
      <c r="H44" s="386"/>
      <c r="I44" s="386"/>
      <c r="J44" s="386"/>
      <c r="K44" s="386"/>
      <c r="L44" s="386"/>
      <c r="M44" s="386"/>
      <c r="N44" s="387"/>
      <c r="R44" s="83"/>
      <c r="U44"/>
    </row>
    <row r="45" spans="2:24" ht="20" customHeight="1" x14ac:dyDescent="0.2">
      <c r="B45" s="205" t="s">
        <v>3010</v>
      </c>
      <c r="C45" s="386" t="s">
        <v>3051</v>
      </c>
      <c r="D45" s="386"/>
      <c r="E45" s="386"/>
      <c r="F45" s="386"/>
      <c r="G45" s="386"/>
      <c r="H45" s="386"/>
      <c r="I45" s="386"/>
      <c r="J45" s="386"/>
      <c r="K45" s="386"/>
      <c r="L45" s="386"/>
      <c r="M45" s="386"/>
      <c r="N45" s="387"/>
      <c r="R45" s="83"/>
      <c r="U45"/>
    </row>
    <row r="46" spans="2:24" ht="20" customHeight="1" x14ac:dyDescent="0.2">
      <c r="B46" s="205" t="s">
        <v>3010</v>
      </c>
      <c r="C46" s="386" t="s">
        <v>3204</v>
      </c>
      <c r="D46" s="386"/>
      <c r="E46" s="386"/>
      <c r="F46" s="386"/>
      <c r="G46" s="386"/>
      <c r="H46" s="386"/>
      <c r="I46" s="386"/>
      <c r="J46" s="386"/>
      <c r="K46" s="386"/>
      <c r="L46" s="386"/>
      <c r="M46" s="386"/>
      <c r="N46" s="387"/>
      <c r="R46" s="83"/>
      <c r="U46"/>
    </row>
    <row r="47" spans="2:24" ht="10" customHeight="1" x14ac:dyDescent="0.2">
      <c r="B47" s="450"/>
      <c r="C47" s="451"/>
      <c r="D47" s="451"/>
      <c r="E47" s="451"/>
      <c r="F47" s="451"/>
      <c r="G47" s="451"/>
      <c r="H47" s="451"/>
      <c r="I47" s="451"/>
      <c r="J47" s="451"/>
      <c r="K47" s="451"/>
      <c r="L47" s="451"/>
      <c r="M47" s="451"/>
      <c r="N47" s="452"/>
      <c r="R47" s="83"/>
      <c r="U47"/>
    </row>
    <row r="48" spans="2:24" ht="22" customHeight="1" x14ac:dyDescent="0.2">
      <c r="B48" s="199"/>
      <c r="C48" s="200"/>
      <c r="D48" s="200"/>
      <c r="E48" s="201"/>
      <c r="F48" s="328" t="s">
        <v>3032</v>
      </c>
      <c r="G48" s="201"/>
      <c r="H48" s="458" t="s">
        <v>3038</v>
      </c>
      <c r="I48" s="458"/>
      <c r="J48" s="307"/>
      <c r="K48" s="459"/>
      <c r="L48" s="459"/>
      <c r="M48" s="459"/>
      <c r="N48" s="460"/>
      <c r="R48" s="83"/>
      <c r="U48"/>
    </row>
    <row r="49" spans="2:21" ht="21" customHeight="1" x14ac:dyDescent="0.2">
      <c r="B49" s="202"/>
      <c r="C49" s="449" t="s">
        <v>3035</v>
      </c>
      <c r="D49" s="449"/>
      <c r="E49" s="449"/>
      <c r="F49" s="327" t="s">
        <v>3199</v>
      </c>
      <c r="G49" s="200"/>
      <c r="H49" s="458"/>
      <c r="I49" s="458"/>
      <c r="J49" s="307"/>
      <c r="K49" s="459"/>
      <c r="L49" s="459"/>
      <c r="M49" s="459"/>
      <c r="N49" s="460"/>
      <c r="R49" s="83"/>
      <c r="U49"/>
    </row>
    <row r="50" spans="2:21" ht="21" customHeight="1" x14ac:dyDescent="0.2">
      <c r="B50" s="202"/>
      <c r="C50" s="420" t="s">
        <v>3036</v>
      </c>
      <c r="D50" s="420"/>
      <c r="E50" s="420"/>
      <c r="F50" s="326" t="s">
        <v>3199</v>
      </c>
      <c r="G50" s="200"/>
      <c r="H50" s="458"/>
      <c r="I50" s="458"/>
      <c r="J50" s="307"/>
      <c r="K50" s="459"/>
      <c r="L50" s="459"/>
      <c r="M50" s="459"/>
      <c r="N50" s="460"/>
      <c r="R50" s="83"/>
      <c r="U50"/>
    </row>
    <row r="51" spans="2:21" ht="10" customHeight="1" x14ac:dyDescent="0.25">
      <c r="B51" s="202"/>
      <c r="C51" s="206"/>
      <c r="D51" s="206"/>
      <c r="E51" s="206"/>
      <c r="F51" s="206"/>
      <c r="G51" s="206"/>
      <c r="H51" s="200"/>
      <c r="I51" s="200"/>
      <c r="J51" s="307"/>
      <c r="K51" s="459"/>
      <c r="L51" s="459"/>
      <c r="M51" s="459"/>
      <c r="N51" s="460"/>
      <c r="R51" s="83"/>
      <c r="U51"/>
    </row>
    <row r="52" spans="2:21" ht="22" customHeight="1" x14ac:dyDescent="0.2">
      <c r="B52" s="202" t="s">
        <v>3010</v>
      </c>
      <c r="C52" s="453" t="s">
        <v>3205</v>
      </c>
      <c r="D52" s="453"/>
      <c r="E52" s="453"/>
      <c r="F52" s="453"/>
      <c r="G52" s="453"/>
      <c r="H52" s="453"/>
      <c r="I52" s="453"/>
      <c r="J52" s="453"/>
      <c r="K52" s="453"/>
      <c r="L52" s="453"/>
      <c r="M52" s="453"/>
      <c r="N52" s="454"/>
      <c r="R52" s="83"/>
      <c r="U52"/>
    </row>
    <row r="53" spans="2:21" ht="10" customHeight="1" x14ac:dyDescent="0.2">
      <c r="B53" s="461"/>
      <c r="C53" s="462"/>
      <c r="D53" s="462"/>
      <c r="E53" s="462"/>
      <c r="F53" s="462"/>
      <c r="G53" s="462"/>
      <c r="H53" s="462"/>
      <c r="I53" s="462"/>
      <c r="J53" s="462"/>
      <c r="K53" s="462"/>
      <c r="L53" s="462"/>
      <c r="M53" s="462"/>
      <c r="N53" s="463"/>
      <c r="R53" s="83"/>
      <c r="U53"/>
    </row>
    <row r="54" spans="2:21" ht="20" customHeight="1" thickBot="1" x14ac:dyDescent="0.25">
      <c r="B54" s="455" t="s">
        <v>3049</v>
      </c>
      <c r="C54" s="456"/>
      <c r="D54" s="456"/>
      <c r="E54" s="456"/>
      <c r="F54" s="456"/>
      <c r="G54" s="456"/>
      <c r="H54" s="456"/>
      <c r="I54" s="456"/>
      <c r="J54" s="456"/>
      <c r="K54" s="456"/>
      <c r="L54" s="456"/>
      <c r="M54" s="456"/>
      <c r="N54" s="457"/>
      <c r="R54" s="83"/>
      <c r="U54"/>
    </row>
    <row r="55" spans="2:21" ht="10" customHeight="1" thickTop="1" thickBot="1" x14ac:dyDescent="0.25">
      <c r="B55" s="190"/>
      <c r="C55" s="190"/>
      <c r="D55" s="190"/>
      <c r="E55" s="190"/>
      <c r="F55" s="190"/>
      <c r="G55" s="294"/>
      <c r="H55" s="190"/>
      <c r="I55" s="190"/>
      <c r="J55" s="190"/>
      <c r="K55" s="190"/>
      <c r="L55" s="190"/>
      <c r="M55" s="190"/>
      <c r="N55" s="190"/>
    </row>
    <row r="56" spans="2:21" ht="25" thickTop="1" x14ac:dyDescent="0.2">
      <c r="B56" s="389" t="s">
        <v>3014</v>
      </c>
      <c r="C56" s="390"/>
      <c r="D56" s="390"/>
      <c r="E56" s="390"/>
      <c r="F56" s="390"/>
      <c r="G56" s="390"/>
      <c r="H56" s="390"/>
      <c r="I56" s="390"/>
      <c r="J56" s="390"/>
      <c r="K56" s="390"/>
      <c r="L56" s="390"/>
      <c r="M56" s="390"/>
      <c r="N56" s="427"/>
    </row>
    <row r="57" spans="2:21" ht="19" customHeight="1" x14ac:dyDescent="0.2">
      <c r="B57" s="296" t="s">
        <v>3010</v>
      </c>
      <c r="C57" s="393" t="s">
        <v>3206</v>
      </c>
      <c r="D57" s="393"/>
      <c r="E57" s="393"/>
      <c r="F57" s="393"/>
      <c r="G57" s="393"/>
      <c r="H57" s="393"/>
      <c r="I57" s="393"/>
      <c r="J57" s="393"/>
      <c r="K57" s="393"/>
      <c r="L57" s="393"/>
      <c r="M57" s="393"/>
      <c r="N57" s="394"/>
    </row>
    <row r="58" spans="2:21" ht="10" customHeight="1" x14ac:dyDescent="0.2">
      <c r="B58" s="297"/>
      <c r="C58" s="208"/>
      <c r="D58" s="208"/>
      <c r="E58" s="298"/>
      <c r="F58" s="298"/>
      <c r="G58" s="299"/>
      <c r="H58" s="298"/>
      <c r="I58" s="298"/>
      <c r="J58" s="298"/>
      <c r="K58" s="298"/>
      <c r="L58" s="300"/>
      <c r="M58" s="298"/>
      <c r="N58" s="301"/>
    </row>
    <row r="59" spans="2:21" ht="22" x14ac:dyDescent="0.2">
      <c r="B59" s="297"/>
      <c r="C59" s="208"/>
      <c r="D59" s="208"/>
      <c r="E59" s="298"/>
      <c r="F59" s="298"/>
      <c r="G59" s="316"/>
      <c r="H59" s="317" t="s">
        <v>3033</v>
      </c>
      <c r="I59" s="318" t="s">
        <v>3032</v>
      </c>
      <c r="J59" s="445" t="s">
        <v>3031</v>
      </c>
      <c r="K59" s="445"/>
      <c r="L59" s="308"/>
      <c r="M59" s="308"/>
      <c r="N59" s="309"/>
    </row>
    <row r="60" spans="2:21" ht="21" customHeight="1" x14ac:dyDescent="0.2">
      <c r="B60" s="207"/>
      <c r="C60" s="421" t="s">
        <v>3035</v>
      </c>
      <c r="D60" s="421"/>
      <c r="E60" s="421"/>
      <c r="F60" s="329"/>
      <c r="G60" s="319"/>
      <c r="H60" s="320" t="s">
        <v>3201</v>
      </c>
      <c r="I60" s="320" t="s">
        <v>3165</v>
      </c>
      <c r="J60" s="446" t="s">
        <v>3207</v>
      </c>
      <c r="K60" s="446"/>
      <c r="L60" s="312"/>
      <c r="M60" s="312"/>
      <c r="N60" s="313"/>
    </row>
    <row r="61" spans="2:21" ht="22" customHeight="1" x14ac:dyDescent="0.2">
      <c r="B61" s="207"/>
      <c r="C61" s="391" t="s">
        <v>3034</v>
      </c>
      <c r="D61" s="391"/>
      <c r="E61" s="391"/>
      <c r="F61" s="391"/>
      <c r="G61" s="321" t="s">
        <v>3039</v>
      </c>
      <c r="H61" s="322" t="s">
        <v>3201</v>
      </c>
      <c r="I61" s="322" t="s">
        <v>3166</v>
      </c>
      <c r="J61" s="447" t="s">
        <v>3015</v>
      </c>
      <c r="K61" s="447"/>
      <c r="L61" s="310"/>
      <c r="M61" s="310"/>
      <c r="N61" s="311"/>
    </row>
    <row r="62" spans="2:21" ht="10" customHeight="1" x14ac:dyDescent="0.2">
      <c r="B62" s="302"/>
      <c r="C62" s="303"/>
      <c r="D62" s="303"/>
      <c r="E62" s="300"/>
      <c r="F62" s="300"/>
      <c r="G62" s="304"/>
      <c r="H62" s="300"/>
      <c r="I62" s="300"/>
      <c r="J62" s="300"/>
      <c r="K62" s="300"/>
      <c r="L62" s="300"/>
      <c r="M62" s="300"/>
      <c r="N62" s="305"/>
    </row>
    <row r="63" spans="2:21" ht="19" customHeight="1" x14ac:dyDescent="0.2">
      <c r="B63" s="117" t="s">
        <v>3010</v>
      </c>
      <c r="C63" s="396" t="s">
        <v>3200</v>
      </c>
      <c r="D63" s="396"/>
      <c r="E63" s="396"/>
      <c r="F63" s="396"/>
      <c r="G63" s="396"/>
      <c r="H63" s="396"/>
      <c r="I63" s="396"/>
      <c r="J63" s="396"/>
      <c r="K63" s="396"/>
      <c r="L63" s="396"/>
      <c r="M63" s="396"/>
      <c r="N63" s="397"/>
    </row>
    <row r="64" spans="2:21" ht="10" customHeight="1" x14ac:dyDescent="0.2">
      <c r="B64" s="302"/>
      <c r="C64" s="303"/>
      <c r="D64" s="303"/>
      <c r="E64" s="300"/>
      <c r="F64" s="300"/>
      <c r="G64" s="304"/>
      <c r="H64" s="300"/>
      <c r="I64" s="300"/>
      <c r="J64" s="300"/>
      <c r="K64" s="300"/>
      <c r="L64" s="306"/>
      <c r="M64" s="300"/>
      <c r="N64" s="305"/>
    </row>
    <row r="65" spans="2:21" ht="22" customHeight="1" x14ac:dyDescent="0.2">
      <c r="B65" s="86"/>
      <c r="C65" s="392" t="s">
        <v>3037</v>
      </c>
      <c r="D65" s="392"/>
      <c r="E65" s="392"/>
      <c r="F65" s="392"/>
      <c r="G65" s="323"/>
      <c r="H65" s="324" t="s">
        <v>3196</v>
      </c>
      <c r="I65" s="325" t="s">
        <v>3010</v>
      </c>
      <c r="J65" s="448" t="s">
        <v>3197</v>
      </c>
      <c r="K65" s="448"/>
      <c r="L65" s="314"/>
      <c r="M65" s="314"/>
      <c r="N65" s="315"/>
    </row>
    <row r="66" spans="2:21" ht="10" customHeight="1" x14ac:dyDescent="0.2">
      <c r="B66" s="302"/>
      <c r="C66" s="303"/>
      <c r="D66" s="303"/>
      <c r="E66" s="300"/>
      <c r="F66" s="300"/>
      <c r="G66" s="304"/>
      <c r="H66" s="300"/>
      <c r="I66" s="300"/>
      <c r="J66" s="300"/>
      <c r="K66" s="300"/>
      <c r="L66" s="300"/>
      <c r="M66" s="300"/>
      <c r="N66" s="305"/>
    </row>
    <row r="67" spans="2:21" ht="20" customHeight="1" thickBot="1" x14ac:dyDescent="0.25">
      <c r="B67" s="404" t="s">
        <v>3048</v>
      </c>
      <c r="C67" s="405"/>
      <c r="D67" s="405"/>
      <c r="E67" s="405"/>
      <c r="F67" s="405"/>
      <c r="G67" s="405"/>
      <c r="H67" s="405"/>
      <c r="I67" s="405"/>
      <c r="J67" s="405"/>
      <c r="K67" s="405"/>
      <c r="L67" s="405"/>
      <c r="M67" s="405"/>
      <c r="N67" s="406"/>
    </row>
    <row r="68" spans="2:21" ht="10" customHeight="1" thickTop="1" thickBot="1" x14ac:dyDescent="0.25">
      <c r="B68" s="190"/>
      <c r="C68" s="190"/>
      <c r="D68" s="190"/>
      <c r="E68" s="190"/>
      <c r="F68" s="190"/>
      <c r="G68" s="294"/>
      <c r="H68" s="190"/>
      <c r="I68" s="190"/>
      <c r="J68" s="190"/>
      <c r="K68" s="190"/>
      <c r="M68" s="190"/>
      <c r="N68" s="190"/>
    </row>
    <row r="69" spans="2:21" ht="25" thickTop="1" x14ac:dyDescent="0.2">
      <c r="B69" s="422" t="s">
        <v>3016</v>
      </c>
      <c r="C69" s="423"/>
      <c r="D69" s="423"/>
      <c r="E69" s="423"/>
      <c r="F69" s="423"/>
      <c r="G69" s="423"/>
      <c r="H69" s="423"/>
      <c r="I69" s="423"/>
      <c r="J69" s="423"/>
      <c r="K69" s="423"/>
      <c r="L69" s="423"/>
      <c r="M69" s="423"/>
      <c r="N69" s="424"/>
    </row>
    <row r="70" spans="2:21" ht="19" customHeight="1" x14ac:dyDescent="0.2">
      <c r="B70" s="188" t="s">
        <v>3010</v>
      </c>
      <c r="C70" s="386" t="s">
        <v>3208</v>
      </c>
      <c r="D70" s="386"/>
      <c r="E70" s="386"/>
      <c r="F70" s="386"/>
      <c r="G70" s="386"/>
      <c r="H70" s="386"/>
      <c r="I70" s="386"/>
      <c r="J70" s="386"/>
      <c r="K70" s="386"/>
      <c r="L70" s="386"/>
      <c r="M70" s="386"/>
      <c r="N70" s="387"/>
    </row>
    <row r="71" spans="2:21" ht="19" customHeight="1" thickBot="1" x14ac:dyDescent="0.25">
      <c r="B71" s="189" t="s">
        <v>3010</v>
      </c>
      <c r="C71" s="425" t="s">
        <v>3209</v>
      </c>
      <c r="D71" s="425"/>
      <c r="E71" s="425"/>
      <c r="F71" s="425"/>
      <c r="G71" s="425"/>
      <c r="H71" s="425"/>
      <c r="I71" s="425"/>
      <c r="J71" s="425"/>
      <c r="K71" s="425"/>
      <c r="L71" s="425"/>
      <c r="M71" s="425"/>
      <c r="N71" s="426"/>
    </row>
    <row r="72" spans="2:21" ht="10" customHeight="1" thickTop="1" thickBot="1" x14ac:dyDescent="0.25">
      <c r="B72" s="190"/>
      <c r="C72" s="190"/>
      <c r="D72" s="190"/>
      <c r="E72" s="190"/>
      <c r="F72" s="190"/>
      <c r="G72" s="294"/>
      <c r="H72" s="190"/>
      <c r="I72" s="190"/>
      <c r="J72" s="190"/>
      <c r="K72" s="190"/>
      <c r="L72" s="190"/>
      <c r="M72" s="190"/>
      <c r="N72"/>
      <c r="R72" s="83"/>
      <c r="U72"/>
    </row>
    <row r="73" spans="2:21" ht="25" thickTop="1" x14ac:dyDescent="0.2">
      <c r="B73" s="430" t="s">
        <v>3112</v>
      </c>
      <c r="C73" s="431"/>
      <c r="D73" s="431"/>
      <c r="E73" s="431"/>
      <c r="F73" s="431"/>
      <c r="G73" s="431"/>
      <c r="H73" s="431"/>
      <c r="I73" s="431"/>
      <c r="J73" s="431"/>
      <c r="K73" s="431"/>
      <c r="L73" s="431"/>
      <c r="M73" s="431"/>
      <c r="N73" s="432"/>
      <c r="R73" s="83"/>
      <c r="U73"/>
    </row>
    <row r="74" spans="2:21" ht="22" x14ac:dyDescent="0.2">
      <c r="B74" s="192" t="s">
        <v>3010</v>
      </c>
      <c r="C74" s="433" t="s">
        <v>3198</v>
      </c>
      <c r="D74" s="433"/>
      <c r="E74" s="433"/>
      <c r="F74" s="433"/>
      <c r="G74" s="433"/>
      <c r="H74" s="433"/>
      <c r="I74" s="433"/>
      <c r="J74" s="433"/>
      <c r="K74" s="433"/>
      <c r="L74" s="433"/>
      <c r="M74" s="433"/>
      <c r="N74" s="434"/>
      <c r="R74" s="83"/>
      <c r="U74"/>
    </row>
    <row r="75" spans="2:21" ht="8" customHeight="1" x14ac:dyDescent="0.2">
      <c r="B75" s="191"/>
      <c r="C75" s="435"/>
      <c r="D75" s="435"/>
      <c r="E75" s="435"/>
      <c r="F75" s="435"/>
      <c r="G75" s="435"/>
      <c r="H75" s="435"/>
      <c r="I75" s="435"/>
      <c r="J75" s="435"/>
      <c r="K75" s="435"/>
      <c r="L75" s="435"/>
      <c r="M75" s="435"/>
      <c r="N75" s="436"/>
      <c r="R75" s="83"/>
      <c r="U75"/>
    </row>
    <row r="76" spans="2:21" ht="21" x14ac:dyDescent="0.2">
      <c r="B76" s="288"/>
      <c r="C76" s="333"/>
      <c r="D76" s="333"/>
      <c r="E76" s="437" t="s">
        <v>3113</v>
      </c>
      <c r="F76" s="437"/>
      <c r="G76" s="437"/>
      <c r="H76" s="334" t="s">
        <v>3114</v>
      </c>
      <c r="I76" s="437" t="s">
        <v>3031</v>
      </c>
      <c r="J76" s="437"/>
      <c r="K76" s="437"/>
      <c r="L76" s="437"/>
      <c r="M76" s="437"/>
      <c r="N76" s="438"/>
      <c r="R76" s="83"/>
      <c r="U76"/>
    </row>
    <row r="77" spans="2:21" s="13" customFormat="1" ht="22" customHeight="1" x14ac:dyDescent="0.2">
      <c r="B77" s="289"/>
      <c r="C77" s="439" t="s">
        <v>3137</v>
      </c>
      <c r="D77" s="439"/>
      <c r="E77" s="348" t="s">
        <v>3210</v>
      </c>
      <c r="F77" s="348"/>
      <c r="G77" s="348"/>
      <c r="H77" s="330" t="s">
        <v>3211</v>
      </c>
      <c r="I77" s="348" t="s">
        <v>3212</v>
      </c>
      <c r="J77" s="348"/>
      <c r="K77" s="348"/>
      <c r="L77" s="348"/>
      <c r="M77" s="348"/>
      <c r="N77" s="350"/>
      <c r="R77" s="284"/>
      <c r="S77" s="284"/>
      <c r="T77" s="284"/>
    </row>
    <row r="78" spans="2:21" ht="21" x14ac:dyDescent="0.2">
      <c r="B78" s="192"/>
      <c r="C78" s="336"/>
      <c r="D78" s="336"/>
      <c r="E78" s="349"/>
      <c r="F78" s="349"/>
      <c r="G78" s="349"/>
      <c r="H78" s="337"/>
      <c r="I78" s="349"/>
      <c r="J78" s="349"/>
      <c r="K78" s="349"/>
      <c r="L78" s="349"/>
      <c r="M78" s="349"/>
      <c r="N78" s="351"/>
      <c r="R78" s="83"/>
      <c r="U78"/>
    </row>
    <row r="79" spans="2:21" s="243" customFormat="1" ht="19" customHeight="1" x14ac:dyDescent="0.2">
      <c r="B79" s="192"/>
      <c r="C79" s="352" t="s">
        <v>3138</v>
      </c>
      <c r="D79" s="352"/>
      <c r="E79" s="353" t="s">
        <v>3213</v>
      </c>
      <c r="F79" s="354"/>
      <c r="G79" s="354"/>
      <c r="H79" s="354"/>
      <c r="I79" s="354"/>
      <c r="J79" s="354"/>
      <c r="K79" s="354"/>
      <c r="L79" s="354"/>
      <c r="M79" s="354"/>
      <c r="N79" s="355"/>
      <c r="R79" s="338"/>
      <c r="S79" s="338"/>
      <c r="T79" s="338"/>
    </row>
    <row r="80" spans="2:21" s="243" customFormat="1" ht="19" customHeight="1" x14ac:dyDescent="0.2">
      <c r="B80" s="192"/>
      <c r="C80" s="352" t="s">
        <v>3160</v>
      </c>
      <c r="D80" s="352"/>
      <c r="E80" s="353" t="s">
        <v>3214</v>
      </c>
      <c r="F80" s="353"/>
      <c r="G80" s="353"/>
      <c r="H80" s="353"/>
      <c r="I80" s="353"/>
      <c r="J80" s="353"/>
      <c r="K80" s="353"/>
      <c r="L80" s="353"/>
      <c r="M80" s="353"/>
      <c r="N80" s="356"/>
      <c r="R80" s="338"/>
      <c r="S80" s="338"/>
      <c r="T80" s="338"/>
    </row>
    <row r="81" spans="2:21" s="243" customFormat="1" ht="19" customHeight="1" x14ac:dyDescent="0.2">
      <c r="B81" s="192"/>
      <c r="C81" s="339"/>
      <c r="D81" s="339"/>
      <c r="E81" s="353"/>
      <c r="F81" s="353"/>
      <c r="G81" s="353"/>
      <c r="H81" s="353"/>
      <c r="I81" s="353"/>
      <c r="J81" s="353"/>
      <c r="K81" s="353"/>
      <c r="L81" s="353"/>
      <c r="M81" s="353"/>
      <c r="N81" s="356"/>
      <c r="R81" s="338"/>
      <c r="S81" s="338"/>
      <c r="T81" s="338"/>
    </row>
    <row r="82" spans="2:21" s="243" customFormat="1" ht="21" customHeight="1" x14ac:dyDescent="0.2">
      <c r="B82" s="192"/>
      <c r="C82" s="352" t="s">
        <v>3215</v>
      </c>
      <c r="D82" s="352"/>
      <c r="E82" s="353" t="s">
        <v>3216</v>
      </c>
      <c r="F82" s="354"/>
      <c r="G82" s="354"/>
      <c r="H82" s="354"/>
      <c r="I82" s="354"/>
      <c r="J82" s="354"/>
      <c r="K82" s="354"/>
      <c r="L82" s="354"/>
      <c r="M82" s="354"/>
      <c r="N82" s="355"/>
      <c r="R82" s="338"/>
      <c r="S82" s="338"/>
      <c r="T82" s="338"/>
    </row>
    <row r="83" spans="2:21" s="13" customFormat="1" ht="19" customHeight="1" x14ac:dyDescent="0.2">
      <c r="B83" s="289"/>
      <c r="C83" s="357" t="s">
        <v>3217</v>
      </c>
      <c r="D83" s="357"/>
      <c r="E83" s="358" t="s">
        <v>3115</v>
      </c>
      <c r="F83" s="358"/>
      <c r="G83" s="331"/>
      <c r="H83" s="332" t="s">
        <v>3161</v>
      </c>
      <c r="I83" s="359" t="s">
        <v>3116</v>
      </c>
      <c r="J83" s="359"/>
      <c r="K83" s="359"/>
      <c r="L83" s="359"/>
      <c r="M83" s="359"/>
      <c r="N83" s="360"/>
      <c r="R83" s="284"/>
      <c r="S83" s="284"/>
      <c r="T83" s="284"/>
    </row>
    <row r="84" spans="2:21" ht="10" customHeight="1" x14ac:dyDescent="0.25">
      <c r="B84" s="192"/>
      <c r="C84" s="340"/>
      <c r="D84" s="340"/>
      <c r="E84" s="340"/>
      <c r="F84" s="340"/>
      <c r="G84" s="341"/>
      <c r="H84" s="342"/>
      <c r="I84" s="342"/>
      <c r="J84" s="343"/>
      <c r="K84" s="343"/>
      <c r="L84" s="343"/>
      <c r="M84" s="343"/>
      <c r="N84" s="344"/>
      <c r="R84" s="83"/>
      <c r="U84"/>
    </row>
    <row r="85" spans="2:21" ht="20" customHeight="1" thickBot="1" x14ac:dyDescent="0.25">
      <c r="B85" s="345" t="s">
        <v>3124</v>
      </c>
      <c r="C85" s="346"/>
      <c r="D85" s="346"/>
      <c r="E85" s="346"/>
      <c r="F85" s="346"/>
      <c r="G85" s="346"/>
      <c r="H85" s="346"/>
      <c r="I85" s="346"/>
      <c r="J85" s="346"/>
      <c r="K85" s="346"/>
      <c r="L85" s="346"/>
      <c r="M85" s="346"/>
      <c r="N85" s="347"/>
      <c r="R85" s="83"/>
      <c r="U85"/>
    </row>
    <row r="86" spans="2:21" ht="26" customHeight="1" thickTop="1" x14ac:dyDescent="0.25">
      <c r="B86" s="403" t="s">
        <v>55</v>
      </c>
      <c r="C86" s="403"/>
      <c r="D86" s="403"/>
      <c r="E86" s="403"/>
      <c r="F86" s="403"/>
      <c r="G86" s="403"/>
      <c r="H86" s="403"/>
      <c r="I86" s="403"/>
      <c r="J86" s="272"/>
      <c r="K86" s="204"/>
      <c r="L86"/>
      <c r="M86" s="204"/>
      <c r="N86" s="204"/>
    </row>
    <row r="87" spans="2:21" ht="19" customHeight="1" x14ac:dyDescent="0.2">
      <c r="B87" s="203">
        <v>1</v>
      </c>
      <c r="C87" s="380" t="s">
        <v>3143</v>
      </c>
      <c r="D87" s="380"/>
      <c r="E87" s="380"/>
      <c r="F87" s="380"/>
      <c r="G87" s="380"/>
      <c r="H87" s="380"/>
      <c r="I87" s="380"/>
      <c r="J87" s="380"/>
      <c r="K87" s="380"/>
      <c r="L87" s="380"/>
      <c r="M87" s="380"/>
      <c r="N87" s="380"/>
    </row>
    <row r="88" spans="2:21" x14ac:dyDescent="0.2">
      <c r="B88" s="203"/>
      <c r="C88" s="380"/>
      <c r="D88" s="380"/>
      <c r="E88" s="380"/>
      <c r="F88" s="380"/>
      <c r="G88" s="380"/>
      <c r="H88" s="380"/>
      <c r="I88" s="380"/>
      <c r="J88" s="380"/>
      <c r="K88" s="380"/>
      <c r="L88" s="380"/>
      <c r="M88" s="380"/>
      <c r="N88" s="380"/>
    </row>
    <row r="89" spans="2:21" ht="21" customHeight="1" x14ac:dyDescent="0.2">
      <c r="B89" s="203">
        <v>2</v>
      </c>
      <c r="C89" s="116" t="s">
        <v>60</v>
      </c>
      <c r="D89" s="380" t="s">
        <v>3142</v>
      </c>
      <c r="E89" s="380"/>
      <c r="F89" s="380"/>
      <c r="G89" s="380"/>
      <c r="H89" s="380"/>
      <c r="I89" s="380"/>
      <c r="J89" s="380"/>
      <c r="K89" s="380"/>
      <c r="L89" s="380"/>
      <c r="M89" s="380"/>
      <c r="N89" s="380"/>
    </row>
    <row r="90" spans="2:21" ht="10" customHeight="1" x14ac:dyDescent="0.2">
      <c r="B90" s="190"/>
      <c r="C90" s="190"/>
      <c r="D90" s="190"/>
      <c r="E90" s="190"/>
      <c r="F90" s="190"/>
      <c r="G90" s="294"/>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algorithmName="SHA-512" hashValue="RB7GbUUmV3FMjSJxEbMDqOmJnCsG/ncTHdtqnzFf+48Rtf8xX0y1QlKN8ZOeeZ+mV8P+W7CkELv8tqLACGoaaw==" saltValue="Ur7exEAV9+BEx6kvgpDd+w==" spinCount="100000" sheet="1" formatRows="0" insertColumns="0" selectLockedCells="1"/>
  <mergeCells count="118">
    <mergeCell ref="B73:N73"/>
    <mergeCell ref="C74:N74"/>
    <mergeCell ref="C75:N75"/>
    <mergeCell ref="E76:G76"/>
    <mergeCell ref="I76:N76"/>
    <mergeCell ref="C77:D77"/>
    <mergeCell ref="O3:R5"/>
    <mergeCell ref="B6:N6"/>
    <mergeCell ref="O6:R6"/>
    <mergeCell ref="J59:K59"/>
    <mergeCell ref="J60:K60"/>
    <mergeCell ref="J61:K61"/>
    <mergeCell ref="J65:K65"/>
    <mergeCell ref="C49:E49"/>
    <mergeCell ref="B43:N43"/>
    <mergeCell ref="C44:N44"/>
    <mergeCell ref="C45:N45"/>
    <mergeCell ref="C46:N46"/>
    <mergeCell ref="B47:N47"/>
    <mergeCell ref="C52:N52"/>
    <mergeCell ref="B54:N54"/>
    <mergeCell ref="H48:I50"/>
    <mergeCell ref="K48:N51"/>
    <mergeCell ref="B53:N53"/>
    <mergeCell ref="C50:E50"/>
    <mergeCell ref="C60:E60"/>
    <mergeCell ref="I26:N26"/>
    <mergeCell ref="B32:N32"/>
    <mergeCell ref="C34:N34"/>
    <mergeCell ref="B56:N56"/>
    <mergeCell ref="B69:N69"/>
    <mergeCell ref="C71:N71"/>
    <mergeCell ref="B5:N5"/>
    <mergeCell ref="B8:J8"/>
    <mergeCell ref="B25:C2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S13:T13"/>
    <mergeCell ref="S10:T12"/>
    <mergeCell ref="E16:H16"/>
    <mergeCell ref="Q7:R7"/>
    <mergeCell ref="O7:P7"/>
    <mergeCell ref="Q18:R18"/>
    <mergeCell ref="O18:P18"/>
    <mergeCell ref="Q13:R13"/>
    <mergeCell ref="O13:P13"/>
    <mergeCell ref="K13:N13"/>
    <mergeCell ref="I15:J15"/>
    <mergeCell ref="I14:J14"/>
    <mergeCell ref="E15:H15"/>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C37:I37"/>
    <mergeCell ref="C38:I38"/>
    <mergeCell ref="C39:I39"/>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E19:H19"/>
    <mergeCell ref="J84:N84"/>
    <mergeCell ref="B85:N85"/>
    <mergeCell ref="E77:G78"/>
    <mergeCell ref="I77:N78"/>
    <mergeCell ref="C79:D79"/>
    <mergeCell ref="E79:N79"/>
    <mergeCell ref="C80:D80"/>
    <mergeCell ref="E80:N81"/>
    <mergeCell ref="C82:D82"/>
    <mergeCell ref="E82:N82"/>
    <mergeCell ref="C83:D83"/>
    <mergeCell ref="E83:F83"/>
    <mergeCell ref="I83:N83"/>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L33" location="'Brine-Calculator'!K8" display="Click here to get to our Brine Calculator, where you can enter the desired brine quantity you want to produce." xr:uid="{C65B1278-3ECD-4F4B-9F70-6395E57B97BD}"/>
    <hyperlink ref="D30" r:id="rId2" xr:uid="{2E085165-AEE6-BD46-9664-43A03FA30391}"/>
    <hyperlink ref="B6" r:id="rId3" xr:uid="{A16C1651-C68F-244D-A897-977CDD255654}"/>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Functions!$X$7:$X$9</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61"/>
      <c r="K1" s="361"/>
      <c r="L1" s="361"/>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68" t="s">
        <v>3170</v>
      </c>
      <c r="C5" s="468"/>
      <c r="D5" s="468"/>
      <c r="E5" s="468"/>
      <c r="F5" s="468"/>
      <c r="G5" s="468"/>
      <c r="H5" s="468"/>
      <c r="I5" s="468"/>
      <c r="J5" s="468"/>
      <c r="K5" s="468"/>
      <c r="L5" s="468"/>
      <c r="M5" s="468"/>
      <c r="N5" s="440"/>
      <c r="O5" s="440"/>
      <c r="P5" s="440"/>
      <c r="Q5" s="440"/>
      <c r="R5" s="7"/>
    </row>
    <row r="6" spans="2:20" s="7" customFormat="1" ht="25" customHeight="1" thickBot="1" x14ac:dyDescent="0.35">
      <c r="B6" s="362" t="s">
        <v>3135</v>
      </c>
      <c r="C6" s="362"/>
      <c r="D6" s="362"/>
      <c r="E6" s="362"/>
      <c r="F6" s="362"/>
      <c r="G6" s="362"/>
      <c r="H6" s="362"/>
      <c r="I6" s="362"/>
      <c r="J6" s="362"/>
      <c r="K6" s="465"/>
      <c r="L6" s="465"/>
      <c r="M6" s="362"/>
      <c r="N6" s="440" t="s">
        <v>3128</v>
      </c>
      <c r="O6" s="440"/>
      <c r="P6" s="440"/>
      <c r="Q6" s="440"/>
    </row>
    <row r="7" spans="2:20" s="71" customFormat="1" ht="25" customHeight="1" x14ac:dyDescent="0.25">
      <c r="B7" s="429" t="s">
        <v>3169</v>
      </c>
      <c r="C7" s="429"/>
      <c r="D7" s="429"/>
      <c r="E7" s="429"/>
      <c r="F7" s="429"/>
      <c r="G7" s="429"/>
      <c r="H7" s="429"/>
      <c r="I7" s="429"/>
      <c r="J7" s="429"/>
      <c r="K7" s="464">
        <v>100</v>
      </c>
      <c r="L7" s="464"/>
      <c r="M7" s="179" t="s">
        <v>0</v>
      </c>
      <c r="N7" s="467" t="s">
        <v>3148</v>
      </c>
      <c r="O7" s="467"/>
      <c r="P7" s="467"/>
      <c r="Q7" s="467"/>
      <c r="R7" s="7"/>
      <c r="S7" s="7"/>
      <c r="T7" s="7"/>
    </row>
    <row r="8" spans="2:20" s="7" customFormat="1" ht="21" customHeight="1" x14ac:dyDescent="0.25">
      <c r="B8" s="469" t="str">
        <f>"Water / Flaked Ice"</f>
        <v>Water / Flaked Ice</v>
      </c>
      <c r="C8" s="469"/>
      <c r="D8" s="469"/>
      <c r="E8" s="469"/>
      <c r="F8" s="469"/>
      <c r="G8" s="469"/>
      <c r="H8" s="469"/>
      <c r="I8" s="469"/>
      <c r="J8" s="469"/>
      <c r="K8" s="233">
        <f>Water2/(Meat2*YieldIncrease)</f>
        <v>0.89975000000000005</v>
      </c>
      <c r="L8" s="234">
        <f>K8*BrineAmount</f>
        <v>89.975000000000009</v>
      </c>
      <c r="M8" s="235" t="str">
        <f>IF(L8&lt;&gt;"","kg","")</f>
        <v>kg</v>
      </c>
      <c r="N8" s="236">
        <v>0.01</v>
      </c>
      <c r="O8" s="237" t="str">
        <f t="shared" ref="O8" si="0">IF(N8&lt;&gt;"","EUR","")</f>
        <v>EUR</v>
      </c>
      <c r="P8" s="238">
        <f t="shared" ref="P8" si="1">IF(N8&lt;&gt;"",ROUND(N8*L8,2),"")</f>
        <v>0.9</v>
      </c>
      <c r="Q8" s="239" t="str">
        <f t="shared" ref="Q8" si="2">IF(P8&lt;&gt;"","EUR","")</f>
        <v>EUR</v>
      </c>
      <c r="R8" s="244"/>
    </row>
    <row r="9" spans="2:20" s="13" customFormat="1" ht="25" customHeight="1" x14ac:dyDescent="0.25">
      <c r="B9" s="373" t="s">
        <v>34</v>
      </c>
      <c r="C9" s="373"/>
      <c r="D9" s="96" t="s">
        <v>43</v>
      </c>
      <c r="E9" s="377" t="s">
        <v>3171</v>
      </c>
      <c r="F9" s="466"/>
      <c r="G9" s="466"/>
      <c r="H9" s="466"/>
      <c r="I9" s="466"/>
      <c r="J9" s="466"/>
      <c r="K9" s="229" t="s">
        <v>86</v>
      </c>
      <c r="L9" s="229"/>
      <c r="M9" s="229"/>
      <c r="N9" s="413" t="s">
        <v>3158</v>
      </c>
      <c r="O9" s="413"/>
      <c r="P9" s="413" t="s">
        <v>3040</v>
      </c>
      <c r="Q9" s="413"/>
      <c r="R9"/>
      <c r="S9" s="7"/>
    </row>
    <row r="10" spans="2:20" ht="21" customHeight="1" x14ac:dyDescent="0.2">
      <c r="B10" s="367">
        <f>IF(ISNUMBER(Artikelnummer1),Artikelnummer1,"")</f>
        <v>11016</v>
      </c>
      <c r="C10" s="367"/>
      <c r="D10" s="97" t="str">
        <f>IF(ISNA(VLOOKUP(B10,AllData,2,0)),"",HYPERLINK(VLOOKUP(B10,AllData,7,0),"📌"))</f>
        <v>📌</v>
      </c>
      <c r="E10" s="374" t="str">
        <f t="shared" ref="E10:E13" si="3">IF(ISNUMBER(B10),IF(ISNA(VLOOKUP(B10,AllData,2)),"",VLOOKUP(B10,AllData,2)),"")</f>
        <v>AGAGEL® 400</v>
      </c>
      <c r="F10" s="374"/>
      <c r="G10" s="374"/>
      <c r="H10" s="374"/>
      <c r="I10" s="242"/>
      <c r="J10" s="98"/>
      <c r="K10" s="99">
        <f t="shared" ref="K10:K13" si="4">IF(L10&lt;&gt;"",L10/BrineAmount,"")</f>
        <v>7.6999999999999985E-2</v>
      </c>
      <c r="L10" s="100">
        <f t="shared" ref="L10:L13" si="5">IF(R10&lt;&gt;"",R10*BrineAmount,"")</f>
        <v>7.6999999999999984</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72.38</v>
      </c>
      <c r="Q10" s="11" t="str">
        <f t="shared" ref="Q10:Q13" si="10">IF(P10&lt;&gt;"","EUR","")</f>
        <v>EUR</v>
      </c>
      <c r="R10" s="247">
        <f>IF(E10&lt;&gt;"",Menge1/(Meat2*YieldIncrease),"")</f>
        <v>7.6999999999999985E-2</v>
      </c>
      <c r="S10" s="243"/>
      <c r="T10" s="230"/>
    </row>
    <row r="11" spans="2:20" ht="21" customHeight="1" x14ac:dyDescent="0.2">
      <c r="B11" s="367">
        <f>IF(ISNUMBER(Artikelnummer2),Artikelnummer2,"")</f>
        <v>11049</v>
      </c>
      <c r="C11" s="367"/>
      <c r="D11" s="97" t="str">
        <f t="shared" ref="D11:D12" si="11">IF(ISNA(VLOOKUP(B11,AllData,2,0)),"",HYPERLINK(VLOOKUP(B11,AllData,7,0),"📌"))</f>
        <v>📌</v>
      </c>
      <c r="E11" s="374" t="str">
        <f t="shared" si="3"/>
        <v>Curing Salt [Nitrite pickling salt]</v>
      </c>
      <c r="F11" s="374"/>
      <c r="G11" s="374"/>
      <c r="H11" s="374"/>
      <c r="I11" s="242"/>
      <c r="J11" s="98"/>
      <c r="K11" s="99">
        <f t="shared" si="4"/>
        <v>2.3250000000000003E-2</v>
      </c>
      <c r="L11" s="100">
        <f t="shared" si="5"/>
        <v>2.3250000000000002</v>
      </c>
      <c r="M11" s="101" t="str">
        <f t="shared" si="6"/>
        <v>kg</v>
      </c>
      <c r="N11" s="215">
        <f t="shared" si="7"/>
        <v>0.7</v>
      </c>
      <c r="O11" s="9" t="str">
        <f t="shared" si="8"/>
        <v>EUR</v>
      </c>
      <c r="P11" s="10">
        <f t="shared" si="9"/>
        <v>1.63</v>
      </c>
      <c r="Q11" s="11" t="str">
        <f t="shared" si="10"/>
        <v>EUR</v>
      </c>
      <c r="R11" s="247">
        <f>IF(E11&lt;&gt;"",Menge2/(Meat2*YieldIncrease),"")</f>
        <v>2.325E-2</v>
      </c>
      <c r="S11" s="243"/>
      <c r="T11" s="230"/>
    </row>
    <row r="12" spans="2:20" ht="21" x14ac:dyDescent="0.2">
      <c r="B12" s="367">
        <f>IF(ISNUMBER(Artikelnummer4),Artikelnummer4,"")</f>
        <v>11069</v>
      </c>
      <c r="C12" s="367"/>
      <c r="D12" s="97" t="str">
        <f t="shared" si="11"/>
        <v>📌</v>
      </c>
      <c r="E12" s="374" t="str">
        <f t="shared" si="3"/>
        <v>FibreMaxx WF 90</v>
      </c>
      <c r="F12" s="374"/>
      <c r="G12" s="374"/>
      <c r="H12" s="374"/>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367">
        <f>IF(ISNUMBER(Artikelnummer6),Artikelnummer6,"")</f>
        <v>11146</v>
      </c>
      <c r="C13" s="367"/>
      <c r="D13" s="97" t="str">
        <f t="shared" ref="D13" si="12">IF(ISNA(VLOOKUP(B13,AllData,2,0)),"",HYPERLINK(VLOOKUP(B13,AllData,7,0),"📌"))</f>
        <v>📌</v>
      </c>
      <c r="E13" s="472" t="str">
        <f t="shared" si="3"/>
        <v>RoMaxx MB liquid</v>
      </c>
      <c r="F13" s="472"/>
      <c r="G13" s="472"/>
      <c r="H13" s="472"/>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402" t="s">
        <v>35</v>
      </c>
      <c r="C14" s="402"/>
      <c r="D14" s="402"/>
      <c r="E14" s="402"/>
      <c r="F14" s="402"/>
      <c r="G14" s="402"/>
      <c r="H14" s="402"/>
      <c r="I14" s="402"/>
      <c r="J14" s="402"/>
      <c r="K14" s="107">
        <f>L14/MeatAndWater2</f>
        <v>7.3718655783513484E-2</v>
      </c>
      <c r="L14" s="108">
        <f>SUM(L10:L13)</f>
        <v>10.024999999999999</v>
      </c>
      <c r="M14" s="109" t="s">
        <v>0</v>
      </c>
      <c r="N14" s="232" t="str">
        <f>"ø "&amp;ROUND(P14/L14,2)</f>
        <v>ø 7,38</v>
      </c>
      <c r="O14" s="110" t="s">
        <v>3136</v>
      </c>
      <c r="P14" s="111">
        <f>SUM(P10:P13)</f>
        <v>74.009999999999991</v>
      </c>
      <c r="Q14" s="112" t="s">
        <v>3136</v>
      </c>
      <c r="R14" s="245"/>
      <c r="S14" s="243"/>
      <c r="T14" s="230"/>
    </row>
    <row r="15" spans="2:20" ht="35" customHeight="1" thickBot="1" x14ac:dyDescent="0.25">
      <c r="B15" s="365" t="s">
        <v>3174</v>
      </c>
      <c r="C15" s="365"/>
      <c r="D15" s="365"/>
      <c r="E15" s="365"/>
      <c r="F15" s="365"/>
      <c r="G15" s="365"/>
      <c r="H15" s="365"/>
      <c r="I15" s="365"/>
      <c r="J15" s="365"/>
      <c r="K15" s="366">
        <f>SUM(L8,L14)</f>
        <v>100</v>
      </c>
      <c r="L15" s="366"/>
      <c r="M15" s="113" t="s">
        <v>0</v>
      </c>
      <c r="N15" s="214">
        <f>P15/K15</f>
        <v>0.74009999999999987</v>
      </c>
      <c r="O15" s="193" t="str">
        <f>"€ / kg"</f>
        <v>€ / kg</v>
      </c>
      <c r="P15" s="194">
        <f>SUM(P2,P14)</f>
        <v>74.009999999999991</v>
      </c>
      <c r="Q15" s="195" t="s">
        <v>3136</v>
      </c>
      <c r="S15" s="243"/>
      <c r="T15" s="230"/>
    </row>
    <row r="16" spans="2:20" ht="10" customHeight="1" thickBot="1" x14ac:dyDescent="0.25">
      <c r="B16"/>
      <c r="D16"/>
      <c r="E16"/>
      <c r="F16"/>
      <c r="G16"/>
      <c r="H16"/>
      <c r="I16"/>
      <c r="J16"/>
      <c r="K16"/>
      <c r="L16"/>
      <c r="M16" s="80"/>
      <c r="S16" s="243"/>
      <c r="T16" s="230"/>
    </row>
    <row r="17" spans="2:17" ht="25" customHeight="1" thickTop="1" x14ac:dyDescent="0.2">
      <c r="B17" s="473" t="s">
        <v>3176</v>
      </c>
      <c r="C17" s="474"/>
      <c r="D17" s="474"/>
      <c r="E17" s="474"/>
      <c r="F17" s="474"/>
      <c r="G17" s="474"/>
      <c r="H17" s="474"/>
      <c r="I17" s="474"/>
      <c r="J17" s="474"/>
      <c r="K17" s="398" t="s">
        <v>3163</v>
      </c>
      <c r="L17" s="398"/>
      <c r="M17" s="399"/>
      <c r="N17" s="417" t="s">
        <v>3157</v>
      </c>
      <c r="O17" s="417"/>
      <c r="P17" s="417"/>
      <c r="Q17" s="417"/>
    </row>
    <row r="18" spans="2:17" ht="20" customHeight="1" x14ac:dyDescent="0.2">
      <c r="B18" s="186" t="s">
        <v>3010</v>
      </c>
      <c r="C18" s="407" t="s">
        <v>3047</v>
      </c>
      <c r="D18" s="407"/>
      <c r="E18" s="407"/>
      <c r="F18" s="407"/>
      <c r="G18" s="407"/>
      <c r="H18" s="407"/>
      <c r="I18" s="407"/>
      <c r="J18" s="407"/>
      <c r="K18" s="400"/>
      <c r="L18" s="400"/>
      <c r="M18" s="401"/>
      <c r="N18" s="414" t="s">
        <v>3139</v>
      </c>
      <c r="O18" s="414"/>
      <c r="P18" s="414"/>
      <c r="Q18" s="414"/>
    </row>
    <row r="19" spans="2:17" ht="19" customHeight="1" x14ac:dyDescent="0.2">
      <c r="B19" s="186" t="s">
        <v>3010</v>
      </c>
      <c r="C19" s="407" t="s">
        <v>3009</v>
      </c>
      <c r="D19" s="407"/>
      <c r="E19" s="407"/>
      <c r="F19" s="407"/>
      <c r="G19" s="407"/>
      <c r="H19" s="407"/>
      <c r="I19" s="407"/>
      <c r="J19" s="407"/>
      <c r="K19" s="400"/>
      <c r="L19" s="400"/>
      <c r="M19" s="401"/>
      <c r="N19" s="414"/>
      <c r="O19" s="414"/>
      <c r="P19" s="414"/>
      <c r="Q19" s="414"/>
    </row>
    <row r="20" spans="2:17" ht="20" customHeight="1" x14ac:dyDescent="0.2">
      <c r="B20" s="186" t="s">
        <v>3010</v>
      </c>
      <c r="C20" s="407" t="s">
        <v>3172</v>
      </c>
      <c r="D20" s="407"/>
      <c r="E20" s="407"/>
      <c r="F20" s="407"/>
      <c r="G20" s="407"/>
      <c r="H20" s="407"/>
      <c r="I20" s="407"/>
      <c r="J20" s="407"/>
      <c r="K20" s="400"/>
      <c r="L20" s="400"/>
      <c r="M20" s="401"/>
      <c r="N20" s="414"/>
      <c r="O20" s="414"/>
      <c r="P20" s="414"/>
      <c r="Q20" s="414"/>
    </row>
    <row r="21" spans="2:17" ht="10" customHeight="1" x14ac:dyDescent="0.2">
      <c r="B21" s="186"/>
      <c r="C21" s="228"/>
      <c r="D21" s="228"/>
      <c r="E21" s="228"/>
      <c r="F21" s="228"/>
      <c r="G21" s="228"/>
      <c r="H21" s="228"/>
      <c r="I21" s="228"/>
      <c r="J21" s="228"/>
      <c r="K21" s="240"/>
      <c r="L21" s="240"/>
      <c r="M21" s="241"/>
      <c r="N21" s="414"/>
      <c r="O21" s="414"/>
      <c r="P21" s="414"/>
      <c r="Q21" s="414"/>
    </row>
    <row r="22" spans="2:17" ht="20" thickBot="1" x14ac:dyDescent="0.25">
      <c r="B22" s="383" t="s">
        <v>3173</v>
      </c>
      <c r="C22" s="470"/>
      <c r="D22" s="470"/>
      <c r="E22" s="470"/>
      <c r="F22" s="470"/>
      <c r="G22" s="470"/>
      <c r="H22" s="470"/>
      <c r="I22" s="470"/>
      <c r="J22" s="470"/>
      <c r="K22" s="470"/>
      <c r="L22" s="470"/>
      <c r="M22" s="471"/>
      <c r="N22" s="414"/>
      <c r="O22" s="414"/>
      <c r="P22" s="414"/>
      <c r="Q22" s="414"/>
    </row>
    <row r="23" spans="2:17" ht="17" thickTop="1" x14ac:dyDescent="0.2">
      <c r="D23"/>
      <c r="E23"/>
      <c r="F23"/>
      <c r="G23"/>
      <c r="H23"/>
      <c r="I23"/>
      <c r="J23"/>
      <c r="K23"/>
      <c r="L23"/>
      <c r="M23" s="80"/>
      <c r="N23" s="414"/>
      <c r="O23" s="414"/>
      <c r="P23" s="414"/>
      <c r="Q23" s="414"/>
    </row>
    <row r="24" spans="2:17" ht="16" x14ac:dyDescent="0.2">
      <c r="D24"/>
      <c r="E24"/>
      <c r="F24"/>
      <c r="G24"/>
      <c r="H24"/>
      <c r="I24"/>
      <c r="J24"/>
      <c r="K24"/>
      <c r="L24"/>
      <c r="M24" s="80"/>
      <c r="N24" s="414"/>
      <c r="O24" s="414"/>
      <c r="P24" s="414"/>
      <c r="Q24" s="414"/>
    </row>
    <row r="25" spans="2:17" ht="16" x14ac:dyDescent="0.2">
      <c r="D25"/>
      <c r="E25"/>
      <c r="F25"/>
      <c r="G25"/>
      <c r="H25"/>
      <c r="I25"/>
      <c r="J25"/>
      <c r="K25"/>
      <c r="L25"/>
      <c r="M25" s="80"/>
      <c r="N25" s="414"/>
      <c r="O25" s="414"/>
      <c r="P25" s="414"/>
      <c r="Q25" s="414"/>
    </row>
    <row r="26" spans="2:17" ht="16" x14ac:dyDescent="0.2">
      <c r="D26"/>
      <c r="E26"/>
      <c r="F26"/>
      <c r="G26"/>
      <c r="H26"/>
      <c r="I26"/>
      <c r="J26"/>
      <c r="K26"/>
      <c r="L26"/>
      <c r="M26" s="80"/>
      <c r="N26" s="414"/>
      <c r="O26" s="414"/>
      <c r="P26" s="414"/>
      <c r="Q26" s="414"/>
    </row>
    <row r="27" spans="2:17" ht="16" x14ac:dyDescent="0.2">
      <c r="D27"/>
      <c r="E27"/>
      <c r="F27"/>
      <c r="G27"/>
      <c r="H27"/>
      <c r="I27"/>
      <c r="J27"/>
      <c r="K27"/>
      <c r="L27"/>
      <c r="M27" s="80"/>
      <c r="N27" s="414"/>
      <c r="O27" s="414"/>
      <c r="P27" s="414"/>
      <c r="Q27" s="414"/>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C20:J20"/>
    <mergeCell ref="B22:M22"/>
    <mergeCell ref="N18:Q27"/>
    <mergeCell ref="B13:C13"/>
    <mergeCell ref="E13:H13"/>
    <mergeCell ref="K17:M20"/>
    <mergeCell ref="C18:J18"/>
    <mergeCell ref="C19:J19"/>
    <mergeCell ref="N17:Q17"/>
    <mergeCell ref="B14:J14"/>
    <mergeCell ref="B15:J15"/>
    <mergeCell ref="B17:J17"/>
    <mergeCell ref="N5:Q5"/>
    <mergeCell ref="N6:Q6"/>
    <mergeCell ref="N7:Q7"/>
    <mergeCell ref="B5:M5"/>
    <mergeCell ref="K15:L15"/>
    <mergeCell ref="B8:J8"/>
    <mergeCell ref="P9:Q9"/>
    <mergeCell ref="B11:C11"/>
    <mergeCell ref="E11:H11"/>
    <mergeCell ref="N9:O9"/>
    <mergeCell ref="B12:C12"/>
    <mergeCell ref="E12:H12"/>
    <mergeCell ref="J1:L1"/>
    <mergeCell ref="B9:C9"/>
    <mergeCell ref="B10:C10"/>
    <mergeCell ref="E10:H10"/>
    <mergeCell ref="K7:L7"/>
    <mergeCell ref="B6:M6"/>
    <mergeCell ref="B7:J7"/>
    <mergeCell ref="E9:J9"/>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zoomScale="75" zoomScaleNormal="70" zoomScalePageLayoutView="75" workbookViewId="0">
      <pane ySplit="1" topLeftCell="A568" activePane="bottomLeft" state="frozen"/>
      <selection activeCell="M13" sqref="M13"/>
      <selection pane="bottomLeft" activeCell="C591" sqref="C591"/>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3100</v>
      </c>
      <c r="AM1" s="476"/>
      <c r="AN1" s="476"/>
      <c r="AO1" s="476"/>
      <c r="AP1" s="476"/>
      <c r="AQ1" s="476"/>
      <c r="AR1" s="476"/>
      <c r="AS1" s="476"/>
      <c r="AT1" s="476"/>
      <c r="AU1" s="476"/>
      <c r="AV1" s="476"/>
      <c r="AW1" s="476"/>
      <c r="AX1" s="476"/>
      <c r="AY1" s="476"/>
      <c r="AZ1" s="476"/>
      <c r="BA1" s="476"/>
      <c r="BB1" s="476"/>
      <c r="BC1" s="477"/>
      <c r="BD1" s="173"/>
      <c r="BE1" s="475" t="s">
        <v>3089</v>
      </c>
      <c r="BF1" s="476"/>
      <c r="BG1" s="476"/>
      <c r="BH1" s="476"/>
      <c r="BI1" s="476"/>
      <c r="BJ1" s="476"/>
      <c r="BK1" s="476"/>
      <c r="BL1" s="476"/>
      <c r="BM1" s="476"/>
      <c r="BN1" s="476"/>
      <c r="BO1" s="476"/>
      <c r="BP1" s="476"/>
      <c r="BQ1" s="477"/>
      <c r="BR1" s="172"/>
      <c r="BS1" s="475" t="s">
        <v>3082</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1495</v>
      </c>
      <c r="H2" s="6"/>
      <c r="I2" s="3"/>
      <c r="J2" s="479" t="s">
        <v>63</v>
      </c>
      <c r="K2" s="479"/>
      <c r="L2" s="479"/>
      <c r="M2" s="479"/>
      <c r="N2" s="479"/>
      <c r="O2" s="479"/>
      <c r="P2" s="124"/>
      <c r="Q2" s="161" t="s">
        <v>65</v>
      </c>
      <c r="R2" s="161" t="s">
        <v>134</v>
      </c>
      <c r="S2" s="161" t="s">
        <v>84</v>
      </c>
      <c r="T2" s="161" t="s">
        <v>143</v>
      </c>
      <c r="U2" s="161" t="s">
        <v>133</v>
      </c>
      <c r="V2" s="161" t="s">
        <v>144</v>
      </c>
      <c r="W2" s="161" t="s">
        <v>3103</v>
      </c>
      <c r="X2" s="162" t="s">
        <v>3101</v>
      </c>
      <c r="Y2" s="82" t="s">
        <v>1462</v>
      </c>
      <c r="Z2" s="167" t="s">
        <v>3042</v>
      </c>
      <c r="AA2" s="161" t="s">
        <v>3045</v>
      </c>
      <c r="AB2" s="82" t="s">
        <v>164</v>
      </c>
      <c r="AC2" s="82"/>
      <c r="AD2" s="42" t="s">
        <v>1468</v>
      </c>
      <c r="AE2" s="42" t="s">
        <v>1479</v>
      </c>
      <c r="AF2" s="42" t="s">
        <v>1469</v>
      </c>
      <c r="AG2" s="42" t="s">
        <v>1465</v>
      </c>
      <c r="AH2" s="42" t="s">
        <v>1480</v>
      </c>
      <c r="AI2" s="42" t="s">
        <v>1470</v>
      </c>
      <c r="AJ2" s="42" t="s">
        <v>1471</v>
      </c>
      <c r="AK2" s="42"/>
      <c r="AL2" s="126" t="s">
        <v>3065</v>
      </c>
      <c r="AM2" s="127" t="s">
        <v>1485</v>
      </c>
      <c r="AN2" s="128" t="s">
        <v>1486</v>
      </c>
      <c r="AO2" s="129" t="s">
        <v>3055</v>
      </c>
      <c r="AP2" s="128" t="s">
        <v>3052</v>
      </c>
      <c r="AQ2" s="128" t="s">
        <v>3053</v>
      </c>
      <c r="AR2" s="128" t="s">
        <v>3054</v>
      </c>
      <c r="AS2" s="128" t="s">
        <v>3056</v>
      </c>
      <c r="AT2" s="128" t="s">
        <v>3057</v>
      </c>
      <c r="AU2" s="128" t="s">
        <v>3058</v>
      </c>
      <c r="AV2" s="128" t="s">
        <v>3083</v>
      </c>
      <c r="AW2" s="128" t="s">
        <v>3084</v>
      </c>
      <c r="AX2" s="128" t="s">
        <v>3085</v>
      </c>
      <c r="AY2" s="128" t="s">
        <v>3086</v>
      </c>
      <c r="AZ2" s="128" t="s">
        <v>3059</v>
      </c>
      <c r="BA2" s="128" t="s">
        <v>3060</v>
      </c>
      <c r="BB2" s="128" t="s">
        <v>3061</v>
      </c>
      <c r="BC2" s="128" t="s">
        <v>3062</v>
      </c>
      <c r="BD2" s="123"/>
      <c r="BE2" s="150" t="s">
        <v>3065</v>
      </c>
      <c r="BF2" s="151" t="s">
        <v>1485</v>
      </c>
      <c r="BG2" s="142" t="s">
        <v>3087</v>
      </c>
      <c r="BH2" s="128" t="s">
        <v>3088</v>
      </c>
      <c r="BI2" s="128" t="s">
        <v>3097</v>
      </c>
      <c r="BJ2" s="128" t="s">
        <v>3098</v>
      </c>
      <c r="BK2" s="128" t="s">
        <v>3099</v>
      </c>
      <c r="BL2" s="128" t="s">
        <v>3063</v>
      </c>
      <c r="BM2" s="128" t="s">
        <v>3064</v>
      </c>
      <c r="BN2" s="128" t="s">
        <v>3093</v>
      </c>
      <c r="BO2" s="128" t="s">
        <v>3094</v>
      </c>
      <c r="BP2" s="128" t="s">
        <v>3095</v>
      </c>
      <c r="BQ2" s="128" t="s">
        <v>3096</v>
      </c>
      <c r="BR2" s="123"/>
      <c r="BS2" s="150" t="s">
        <v>3065</v>
      </c>
      <c r="BT2" s="151" t="s">
        <v>1485</v>
      </c>
      <c r="BU2" s="126" t="s">
        <v>3133</v>
      </c>
      <c r="BV2" s="126" t="s">
        <v>3134</v>
      </c>
      <c r="BW2" s="126" t="s">
        <v>1486</v>
      </c>
      <c r="BX2" s="126" t="s">
        <v>3129</v>
      </c>
      <c r="BY2" s="126" t="s">
        <v>3130</v>
      </c>
      <c r="BZ2" s="126" t="s">
        <v>3131</v>
      </c>
      <c r="CA2" s="126" t="s">
        <v>3132</v>
      </c>
      <c r="CB2" s="142" t="s">
        <v>3066</v>
      </c>
      <c r="CC2" s="128" t="s">
        <v>3067</v>
      </c>
      <c r="CD2" s="128" t="s">
        <v>3068</v>
      </c>
      <c r="CE2" s="128" t="s">
        <v>3069</v>
      </c>
      <c r="CF2" s="128" t="s">
        <v>3070</v>
      </c>
      <c r="CG2" s="128" t="s">
        <v>3071</v>
      </c>
      <c r="CH2" s="128" t="s">
        <v>3072</v>
      </c>
      <c r="CI2" s="128" t="s">
        <v>3073</v>
      </c>
      <c r="CJ2" s="128" t="s">
        <v>3074</v>
      </c>
      <c r="CK2" s="128" t="s">
        <v>3075</v>
      </c>
      <c r="CL2" s="128" t="s">
        <v>3076</v>
      </c>
      <c r="CM2" s="128" t="s">
        <v>3077</v>
      </c>
      <c r="CN2" s="128" t="s">
        <v>3078</v>
      </c>
      <c r="CO2" s="128" t="s">
        <v>3079</v>
      </c>
      <c r="CP2" s="128" t="s">
        <v>3080</v>
      </c>
      <c r="CQ2" s="128" t="s">
        <v>3081</v>
      </c>
    </row>
    <row r="3" spans="1:95" ht="48" customHeight="1" thickTop="1" thickBot="1" x14ac:dyDescent="0.3">
      <c r="A3" s="31">
        <v>10005</v>
      </c>
      <c r="B3" s="49" t="s">
        <v>7</v>
      </c>
      <c r="C3" s="32"/>
      <c r="D3" s="33">
        <v>14.25</v>
      </c>
      <c r="E3" s="34">
        <v>1</v>
      </c>
      <c r="F3" s="35" t="s">
        <v>0</v>
      </c>
      <c r="G3" s="224" t="s">
        <v>1496</v>
      </c>
      <c r="H3" s="6"/>
      <c r="I3" s="3"/>
      <c r="J3" s="55" t="s">
        <v>72</v>
      </c>
      <c r="K3" s="55" t="s">
        <v>73</v>
      </c>
      <c r="L3" s="55" t="s">
        <v>64</v>
      </c>
      <c r="M3" s="55" t="s">
        <v>65</v>
      </c>
      <c r="N3" s="55" t="s">
        <v>66</v>
      </c>
      <c r="O3" s="55" t="s">
        <v>67</v>
      </c>
      <c r="P3" s="55"/>
      <c r="Q3" s="163" t="s">
        <v>125</v>
      </c>
      <c r="R3" s="163" t="s">
        <v>152</v>
      </c>
      <c r="S3" s="163" t="s">
        <v>4</v>
      </c>
      <c r="T3" s="163" t="s">
        <v>1</v>
      </c>
      <c r="U3" s="163" t="s">
        <v>145</v>
      </c>
      <c r="V3" s="163" t="s">
        <v>3181</v>
      </c>
      <c r="W3" s="163" t="s">
        <v>3104</v>
      </c>
      <c r="X3" s="164">
        <v>0.1</v>
      </c>
      <c r="Y3" s="164">
        <v>5.0000000000000001E-3</v>
      </c>
      <c r="Z3" s="168" t="s">
        <v>3090</v>
      </c>
      <c r="AA3" s="89">
        <v>2.0000000000000001E-4</v>
      </c>
      <c r="AB3" s="89">
        <v>0</v>
      </c>
      <c r="AC3" s="89"/>
      <c r="AD3" s="43" t="s">
        <v>3010</v>
      </c>
      <c r="AE3" s="44" t="s">
        <v>3168</v>
      </c>
      <c r="AF3" s="46"/>
      <c r="AG3" s="43" t="s">
        <v>3010</v>
      </c>
      <c r="AH3" s="44" t="s">
        <v>3127</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1497</v>
      </c>
      <c r="H4" s="6"/>
      <c r="I4" s="3"/>
      <c r="J4" s="56">
        <v>11055</v>
      </c>
      <c r="K4" s="57" t="s">
        <v>36</v>
      </c>
      <c r="L4" s="58">
        <v>8</v>
      </c>
      <c r="M4" s="58">
        <v>8</v>
      </c>
      <c r="N4" s="58">
        <v>8</v>
      </c>
      <c r="O4" s="58">
        <v>8</v>
      </c>
      <c r="P4" s="58"/>
      <c r="Q4" s="163" t="s">
        <v>101</v>
      </c>
      <c r="R4" s="163" t="s">
        <v>87</v>
      </c>
      <c r="S4" s="163" t="s">
        <v>51</v>
      </c>
      <c r="T4" s="163" t="s">
        <v>9</v>
      </c>
      <c r="U4" s="163" t="s">
        <v>83</v>
      </c>
      <c r="V4" s="163" t="s">
        <v>3179</v>
      </c>
      <c r="W4" s="163" t="s">
        <v>3105</v>
      </c>
      <c r="X4" s="164">
        <v>0.15</v>
      </c>
      <c r="Y4" s="164">
        <v>6.0000000000000001E-3</v>
      </c>
      <c r="Z4" s="168" t="s">
        <v>3091</v>
      </c>
      <c r="AA4" s="89">
        <v>2.9999999999999997E-4</v>
      </c>
      <c r="AB4" s="89">
        <v>5.0000000000000001E-3</v>
      </c>
      <c r="AC4" s="89"/>
      <c r="AD4" s="43" t="s">
        <v>3010</v>
      </c>
      <c r="AE4" s="44" t="s">
        <v>1472</v>
      </c>
      <c r="AF4" s="46"/>
      <c r="AG4" s="43" t="s">
        <v>3010</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3" t="s">
        <v>102</v>
      </c>
      <c r="R5" s="163" t="s">
        <v>88</v>
      </c>
      <c r="S5" s="163" t="s">
        <v>84</v>
      </c>
      <c r="T5" s="163" t="s">
        <v>17</v>
      </c>
      <c r="U5" s="163" t="s">
        <v>146</v>
      </c>
      <c r="V5" s="163" t="s">
        <v>3178</v>
      </c>
      <c r="W5" s="163" t="s">
        <v>3102</v>
      </c>
      <c r="X5" s="164">
        <v>0.2</v>
      </c>
      <c r="Y5" s="164">
        <v>7.0000000000000001E-3</v>
      </c>
      <c r="Z5" s="168" t="s">
        <v>65</v>
      </c>
      <c r="AA5" s="89">
        <v>4.0000000000000002E-4</v>
      </c>
      <c r="AB5" s="89">
        <v>0.01</v>
      </c>
      <c r="AC5" s="89"/>
      <c r="AD5" s="43" t="s">
        <v>3010</v>
      </c>
      <c r="AE5" s="44" t="s">
        <v>1473</v>
      </c>
      <c r="AF5" s="46"/>
      <c r="AG5" s="43" t="s">
        <v>3010</v>
      </c>
      <c r="AH5" s="44" t="s">
        <v>3123</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3" t="s">
        <v>103</v>
      </c>
      <c r="R6" s="163" t="s">
        <v>89</v>
      </c>
      <c r="S6" s="163" t="s">
        <v>61</v>
      </c>
      <c r="T6" s="163" t="s">
        <v>38</v>
      </c>
      <c r="U6" s="163" t="s">
        <v>79</v>
      </c>
      <c r="V6" s="163" t="s">
        <v>3167</v>
      </c>
      <c r="W6" s="163" t="s">
        <v>3177</v>
      </c>
      <c r="X6" s="164">
        <v>0.25</v>
      </c>
      <c r="Y6" s="164">
        <v>8.0000000000000002E-3</v>
      </c>
      <c r="Z6" s="168" t="s">
        <v>64</v>
      </c>
      <c r="AA6" s="89">
        <v>5.0000000000000001E-4</v>
      </c>
      <c r="AB6" s="89">
        <v>1.4999999999999999E-2</v>
      </c>
      <c r="AC6" s="89"/>
      <c r="AD6" s="43" t="s">
        <v>3010</v>
      </c>
      <c r="AE6" s="44" t="s">
        <v>1474</v>
      </c>
      <c r="AF6" s="46"/>
      <c r="AG6" s="43" t="s">
        <v>3125</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3" t="s">
        <v>104</v>
      </c>
      <c r="R7" s="163" t="s">
        <v>90</v>
      </c>
      <c r="S7" s="163" t="s">
        <v>78</v>
      </c>
      <c r="T7" s="163" t="s">
        <v>19</v>
      </c>
      <c r="U7" s="163" t="s">
        <v>80</v>
      </c>
      <c r="V7" s="163" t="s">
        <v>3182</v>
      </c>
      <c r="W7" s="163" t="s">
        <v>169</v>
      </c>
      <c r="X7" s="164">
        <v>0.3</v>
      </c>
      <c r="Y7" s="164">
        <v>8.9999999999999993E-3</v>
      </c>
      <c r="Z7" s="168" t="s">
        <v>67</v>
      </c>
      <c r="AA7" s="89">
        <v>5.9999999999999995E-4</v>
      </c>
      <c r="AB7" s="89">
        <v>0.02</v>
      </c>
      <c r="AC7" s="89"/>
      <c r="AD7" s="43" t="s">
        <v>3010</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3092</v>
      </c>
      <c r="AA8" s="89">
        <v>6.9999999999999999E-4</v>
      </c>
      <c r="AB8" s="89">
        <v>2.5000000000000001E-2</v>
      </c>
      <c r="AC8" s="89"/>
      <c r="AD8" s="43" t="s">
        <v>3010</v>
      </c>
      <c r="AE8" s="44" t="s">
        <v>1478</v>
      </c>
      <c r="AF8" s="46"/>
      <c r="AG8" s="43" t="s">
        <v>3010</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3010</v>
      </c>
      <c r="AE9" s="44" t="s">
        <v>3126</v>
      </c>
      <c r="AF9" s="46"/>
      <c r="AG9" s="43" t="s">
        <v>3010</v>
      </c>
      <c r="AH9" s="44" t="s">
        <v>3126</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3010</v>
      </c>
      <c r="AE10" s="46" t="s">
        <v>1476</v>
      </c>
      <c r="AF10" s="46"/>
      <c r="AG10" s="43" t="s">
        <v>3010</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3"/>
      <c r="R11" s="163" t="s">
        <v>94</v>
      </c>
      <c r="S11" s="163"/>
      <c r="T11" s="163" t="s">
        <v>53</v>
      </c>
      <c r="U11" s="163" t="s">
        <v>82</v>
      </c>
      <c r="V11" s="163" t="s">
        <v>3146</v>
      </c>
      <c r="W11" s="163" t="s">
        <v>167</v>
      </c>
      <c r="X11" s="164">
        <v>0.5</v>
      </c>
      <c r="Y11" s="164">
        <v>1.2999999999999999E-2</v>
      </c>
      <c r="Z11" s="168" t="s">
        <v>3018</v>
      </c>
      <c r="AA11" s="89">
        <v>1E-3</v>
      </c>
      <c r="AB11" s="89"/>
      <c r="AC11" s="89"/>
      <c r="AD11" s="43"/>
      <c r="AE11" s="46" t="s">
        <v>3122</v>
      </c>
      <c r="AF11" s="46"/>
      <c r="AG11" s="43" t="s">
        <v>178</v>
      </c>
      <c r="AH11" s="46" t="s">
        <v>3122</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3"/>
      <c r="R12" s="163" t="s">
        <v>95</v>
      </c>
      <c r="S12" s="163"/>
      <c r="T12" s="163" t="s">
        <v>62</v>
      </c>
      <c r="U12" s="163"/>
      <c r="V12" s="163" t="s">
        <v>3147</v>
      </c>
      <c r="W12" s="163" t="s">
        <v>168</v>
      </c>
      <c r="X12" s="164">
        <v>0.55000000000000004</v>
      </c>
      <c r="Y12" s="164">
        <v>1.4E-2</v>
      </c>
      <c r="Z12" s="168" t="s">
        <v>3017</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3149</v>
      </c>
      <c r="AA13" s="89"/>
      <c r="AB13" s="88"/>
      <c r="AC13" s="89"/>
      <c r="AD13" s="63" t="s">
        <v>3021</v>
      </c>
      <c r="AE13" s="63" t="s">
        <v>3029</v>
      </c>
      <c r="AF13" s="45"/>
      <c r="AG13" s="63" t="s">
        <v>3022</v>
      </c>
      <c r="AH13" s="63" t="s">
        <v>3026</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1507</v>
      </c>
      <c r="H14" s="4"/>
      <c r="I14" s="4"/>
      <c r="Q14" s="163" t="s">
        <v>110</v>
      </c>
      <c r="R14" s="163" t="s">
        <v>97</v>
      </c>
      <c r="S14" s="163"/>
      <c r="T14" s="163"/>
      <c r="U14" s="163"/>
      <c r="V14" s="163"/>
      <c r="W14" s="163"/>
      <c r="X14" s="164">
        <v>0.65</v>
      </c>
      <c r="Y14" s="89">
        <v>1.6E-2</v>
      </c>
      <c r="Z14" s="168" t="s">
        <v>3150</v>
      </c>
      <c r="AA14" s="89"/>
      <c r="AB14" s="89"/>
      <c r="AC14" s="89"/>
      <c r="AD14" s="63" t="s">
        <v>3022</v>
      </c>
      <c r="AE14" s="63" t="s">
        <v>3030</v>
      </c>
      <c r="AF14" s="45"/>
      <c r="AG14" s="63" t="s">
        <v>3028</v>
      </c>
      <c r="AH14" s="44" t="s">
        <v>3027</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1508</v>
      </c>
      <c r="H15" s="4"/>
      <c r="I15" s="4"/>
      <c r="Q15" s="163" t="s">
        <v>106</v>
      </c>
      <c r="R15" s="163" t="s">
        <v>98</v>
      </c>
      <c r="S15" s="163"/>
      <c r="T15" s="163"/>
      <c r="U15" s="163"/>
      <c r="V15" s="163"/>
      <c r="W15" s="163"/>
      <c r="X15" s="164">
        <v>0.7</v>
      </c>
      <c r="Y15" s="89">
        <v>1.7000000000000001E-2</v>
      </c>
      <c r="Z15" s="168" t="s">
        <v>3151</v>
      </c>
      <c r="AA15" s="89"/>
      <c r="AB15" s="89"/>
      <c r="AC15" s="89"/>
      <c r="AD15" s="63" t="s">
        <v>3024</v>
      </c>
      <c r="AE15" s="63" t="s">
        <v>3023</v>
      </c>
      <c r="AF15" s="45"/>
      <c r="AG15" s="44" t="s">
        <v>3025</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1509</v>
      </c>
      <c r="H16" s="4"/>
      <c r="I16" s="4"/>
      <c r="Q16" s="163" t="s">
        <v>107</v>
      </c>
      <c r="R16" s="163" t="s">
        <v>99</v>
      </c>
      <c r="S16" s="163"/>
      <c r="T16" s="163"/>
      <c r="U16" s="163"/>
      <c r="V16" s="163"/>
      <c r="W16" s="163"/>
      <c r="X16" s="164">
        <v>0.8</v>
      </c>
      <c r="Y16" s="164">
        <v>1.7999999999999999E-2</v>
      </c>
      <c r="Z16" s="168" t="s">
        <v>3152</v>
      </c>
      <c r="AA16" s="89"/>
      <c r="AB16" s="89"/>
      <c r="AC16" s="89"/>
      <c r="AD16" s="63" t="s">
        <v>3028</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1510</v>
      </c>
      <c r="H17" s="4"/>
      <c r="I17" s="4"/>
      <c r="Q17" s="163" t="s">
        <v>109</v>
      </c>
      <c r="R17" s="163" t="s">
        <v>100</v>
      </c>
      <c r="S17" s="180"/>
      <c r="T17" s="180"/>
      <c r="U17" s="180"/>
      <c r="V17" s="180"/>
      <c r="W17" s="163"/>
      <c r="X17" s="164">
        <v>0.85</v>
      </c>
      <c r="Y17" s="164">
        <v>1.9E-2</v>
      </c>
      <c r="Z17" s="181" t="s">
        <v>3149</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1511</v>
      </c>
      <c r="H18" s="4"/>
      <c r="I18" s="4"/>
      <c r="Q18" s="163" t="s">
        <v>108</v>
      </c>
      <c r="R18" s="163" t="s">
        <v>148</v>
      </c>
      <c r="S18" s="163"/>
      <c r="T18" s="163"/>
      <c r="U18" s="163"/>
      <c r="V18" s="163"/>
      <c r="W18" s="163"/>
      <c r="X18" s="164">
        <v>0.9</v>
      </c>
      <c r="Y18" s="89">
        <v>0.02</v>
      </c>
      <c r="Z18" s="168" t="s">
        <v>3153</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1512</v>
      </c>
      <c r="H19" s="4"/>
      <c r="I19" s="4"/>
      <c r="Q19" s="163" t="s">
        <v>142</v>
      </c>
      <c r="R19" s="163" t="s">
        <v>149</v>
      </c>
      <c r="S19" s="163"/>
      <c r="T19" s="163"/>
      <c r="U19" s="163"/>
      <c r="V19" s="163"/>
      <c r="W19" s="163"/>
      <c r="X19" s="164">
        <v>0.95</v>
      </c>
      <c r="Y19" s="89">
        <v>2.1000000000000001E-2</v>
      </c>
      <c r="Z19" s="168" t="s">
        <v>3154</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1513</v>
      </c>
      <c r="H20" s="4"/>
      <c r="I20" s="4"/>
      <c r="Q20" s="163" t="s">
        <v>157</v>
      </c>
      <c r="R20" s="163" t="s">
        <v>156</v>
      </c>
      <c r="S20" s="163"/>
      <c r="T20" s="163"/>
      <c r="U20" s="163"/>
      <c r="V20" s="163"/>
      <c r="W20" s="163"/>
      <c r="X20" s="164">
        <v>1</v>
      </c>
      <c r="Y20" s="89">
        <v>2.1999999999999999E-2</v>
      </c>
      <c r="Z20" s="168" t="s">
        <v>3155</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1514</v>
      </c>
      <c r="H21" s="4"/>
      <c r="I21" s="4"/>
      <c r="Q21" s="163"/>
      <c r="R21" s="163" t="s">
        <v>150</v>
      </c>
      <c r="S21" s="163"/>
      <c r="T21" s="163"/>
      <c r="U21" s="163"/>
      <c r="V21" s="163"/>
      <c r="W21" s="163"/>
      <c r="X21" s="164">
        <v>1.05</v>
      </c>
      <c r="Y21" s="89">
        <v>2.3E-2</v>
      </c>
      <c r="Z21" s="168" t="s">
        <v>3106</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1515</v>
      </c>
      <c r="H22" s="4"/>
      <c r="I22" s="4"/>
      <c r="Q22" s="163" t="s">
        <v>111</v>
      </c>
      <c r="R22" s="163" t="s">
        <v>151</v>
      </c>
      <c r="S22" s="163"/>
      <c r="T22" s="163"/>
      <c r="U22" s="163"/>
      <c r="V22" s="163"/>
      <c r="W22" s="163"/>
      <c r="X22" s="164">
        <v>1.1000000000000001</v>
      </c>
      <c r="Y22" s="89">
        <v>2.4E-2</v>
      </c>
      <c r="Z22" s="168" t="s">
        <v>3107</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1516</v>
      </c>
      <c r="H23" s="4"/>
      <c r="I23" s="4"/>
      <c r="Q23" s="163" t="s">
        <v>112</v>
      </c>
      <c r="R23" s="163" t="s">
        <v>153</v>
      </c>
      <c r="S23" s="163"/>
      <c r="T23" s="163"/>
      <c r="U23" s="163"/>
      <c r="V23" s="163"/>
      <c r="W23" s="163"/>
      <c r="X23" s="164">
        <v>1.1499999999999999</v>
      </c>
      <c r="Y23" s="89">
        <v>2.5000000000000001E-2</v>
      </c>
      <c r="Z23" s="168" t="s">
        <v>3108</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1517</v>
      </c>
      <c r="H24" s="4"/>
      <c r="I24" s="4"/>
      <c r="Q24" s="163" t="s">
        <v>113</v>
      </c>
      <c r="R24" s="163"/>
      <c r="S24" s="163"/>
      <c r="T24" s="163"/>
      <c r="U24" s="163"/>
      <c r="V24" s="163"/>
      <c r="W24" s="163"/>
      <c r="X24" s="164">
        <v>1.2</v>
      </c>
      <c r="Y24" s="89">
        <v>2.5999999999999999E-2</v>
      </c>
      <c r="Z24" s="169" t="s">
        <v>3121</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1518</v>
      </c>
      <c r="H25" s="4"/>
      <c r="I25" s="4"/>
      <c r="Q25" s="163" t="s">
        <v>114</v>
      </c>
      <c r="R25" s="163"/>
      <c r="S25" s="163"/>
      <c r="T25" s="163"/>
      <c r="U25" s="163"/>
      <c r="V25" s="163"/>
      <c r="W25" s="163"/>
      <c r="X25" s="164">
        <v>1.25</v>
      </c>
      <c r="Y25" s="89">
        <v>2.7E-2</v>
      </c>
      <c r="Z25" s="169" t="s">
        <v>3109</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1519</v>
      </c>
      <c r="H26" s="4"/>
      <c r="I26" s="4"/>
      <c r="Q26" s="163" t="s">
        <v>115</v>
      </c>
      <c r="R26" s="163"/>
      <c r="S26" s="163"/>
      <c r="T26" s="163"/>
      <c r="U26" s="163"/>
      <c r="V26" s="163"/>
      <c r="W26" s="163"/>
      <c r="X26" s="164">
        <v>1.3</v>
      </c>
      <c r="Y26" s="89">
        <v>2.8000000000000001E-2</v>
      </c>
      <c r="Z26" s="169" t="s">
        <v>3110</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1520</v>
      </c>
      <c r="H27" s="4"/>
      <c r="I27" s="4"/>
      <c r="Q27" s="163" t="s">
        <v>116</v>
      </c>
      <c r="R27" s="163"/>
      <c r="S27" s="163"/>
      <c r="T27" s="163"/>
      <c r="U27" s="163"/>
      <c r="V27" s="163"/>
      <c r="W27" s="163"/>
      <c r="X27" s="164">
        <v>1.35</v>
      </c>
      <c r="Y27" s="89">
        <v>2.9000000000000001E-2</v>
      </c>
      <c r="Z27" s="168" t="s">
        <v>3111</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1521</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3119</v>
      </c>
      <c r="C98" s="32">
        <v>8.3699999999999997E-2</v>
      </c>
      <c r="D98" s="33">
        <v>12.1</v>
      </c>
      <c r="E98" s="34">
        <v>1</v>
      </c>
      <c r="F98" s="35" t="s">
        <v>0</v>
      </c>
      <c r="G98" s="84" t="s">
        <v>3120</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1" t="s">
        <v>168</v>
      </c>
      <c r="C185" s="171">
        <v>0.29360000000000003</v>
      </c>
      <c r="D185" s="16">
        <v>9.4</v>
      </c>
      <c r="E185" s="223">
        <v>1</v>
      </c>
      <c r="F185" s="67" t="s">
        <v>0</v>
      </c>
      <c r="G185" s="53" t="s">
        <v>1673</v>
      </c>
      <c r="H185" s="4"/>
      <c r="I185" s="4"/>
    </row>
    <row r="186" spans="1:9" ht="48" customHeight="1" thickTop="1" thickBot="1" x14ac:dyDescent="0.25">
      <c r="A186" s="31">
        <v>11025</v>
      </c>
      <c r="B186" s="49" t="s">
        <v>3189</v>
      </c>
      <c r="C186" s="32">
        <v>0</v>
      </c>
      <c r="D186" s="33">
        <v>4</v>
      </c>
      <c r="E186" s="34">
        <v>1</v>
      </c>
      <c r="F186" s="35" t="s">
        <v>0</v>
      </c>
      <c r="G186" s="84" t="s">
        <v>3190</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3117</v>
      </c>
      <c r="C225" s="36"/>
      <c r="D225" s="37"/>
      <c r="E225" s="38">
        <v>1</v>
      </c>
      <c r="F225" s="39" t="s">
        <v>0</v>
      </c>
      <c r="G225" s="84" t="s">
        <v>3118</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1"/>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1">
        <v>0.3977</v>
      </c>
      <c r="D246" s="37">
        <v>7.85</v>
      </c>
      <c r="E246" s="38">
        <v>1</v>
      </c>
      <c r="F246" s="39" t="s">
        <v>0</v>
      </c>
      <c r="G246" s="48" t="s">
        <v>1726</v>
      </c>
      <c r="H246" s="4"/>
      <c r="I246" s="4"/>
    </row>
    <row r="247" spans="1:9" ht="48" customHeight="1" thickTop="1" thickBot="1" x14ac:dyDescent="0.25">
      <c r="A247" s="41">
        <v>11179</v>
      </c>
      <c r="B247" s="50" t="s">
        <v>384</v>
      </c>
      <c r="C247" s="171"/>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1">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1"/>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1"/>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2" t="s">
        <v>546</v>
      </c>
      <c r="C431" s="171">
        <v>2.5000000000000001E-3</v>
      </c>
      <c r="D431" s="213">
        <v>6.85</v>
      </c>
      <c r="E431" s="38">
        <v>1</v>
      </c>
      <c r="F431" s="39" t="s">
        <v>0</v>
      </c>
      <c r="G431" s="48" t="s">
        <v>1908</v>
      </c>
      <c r="H431" s="4"/>
    </row>
    <row r="432" spans="1:8" ht="19" thickTop="1" thickBot="1" x14ac:dyDescent="0.25">
      <c r="A432" s="41">
        <v>40088</v>
      </c>
      <c r="B432" s="212" t="s">
        <v>530</v>
      </c>
      <c r="C432" s="171"/>
      <c r="D432" s="213">
        <v>6.2</v>
      </c>
      <c r="E432" s="38">
        <v>1</v>
      </c>
      <c r="F432" s="39" t="s">
        <v>0</v>
      </c>
      <c r="G432" s="48" t="s">
        <v>1909</v>
      </c>
      <c r="H432" s="4"/>
    </row>
    <row r="433" spans="1:8" ht="19" thickTop="1" thickBot="1" x14ac:dyDescent="0.25">
      <c r="A433" s="41">
        <v>40090</v>
      </c>
      <c r="B433" s="212" t="s">
        <v>547</v>
      </c>
      <c r="C433" s="171"/>
      <c r="D433" s="213">
        <v>6.5</v>
      </c>
      <c r="E433" s="38">
        <v>1</v>
      </c>
      <c r="F433" s="39" t="s">
        <v>0</v>
      </c>
      <c r="G433" s="48" t="s">
        <v>1910</v>
      </c>
      <c r="H433" s="4"/>
    </row>
    <row r="434" spans="1:8" ht="19" thickTop="1" thickBot="1" x14ac:dyDescent="0.25">
      <c r="A434" s="41">
        <v>40095</v>
      </c>
      <c r="B434" s="212" t="s">
        <v>548</v>
      </c>
      <c r="C434" s="171"/>
      <c r="D434" s="213">
        <v>4.3</v>
      </c>
      <c r="E434" s="38">
        <v>1</v>
      </c>
      <c r="F434" s="39" t="s">
        <v>0</v>
      </c>
      <c r="G434" s="48" t="s">
        <v>1911</v>
      </c>
      <c r="H434" s="4"/>
    </row>
    <row r="435" spans="1:8" ht="19" thickTop="1" thickBot="1" x14ac:dyDescent="0.25">
      <c r="A435" s="41">
        <v>40096</v>
      </c>
      <c r="B435" s="212" t="s">
        <v>40</v>
      </c>
      <c r="C435" s="171"/>
      <c r="D435" s="213">
        <v>5.5</v>
      </c>
      <c r="E435" s="38">
        <v>1</v>
      </c>
      <c r="F435" s="39" t="s">
        <v>0</v>
      </c>
      <c r="G435" s="48" t="s">
        <v>1912</v>
      </c>
      <c r="H435" s="4"/>
    </row>
    <row r="436" spans="1:8" ht="19" thickTop="1" thickBot="1" x14ac:dyDescent="0.25">
      <c r="A436" s="41">
        <v>40097</v>
      </c>
      <c r="B436" s="212" t="s">
        <v>549</v>
      </c>
      <c r="C436" s="171">
        <v>2E-3</v>
      </c>
      <c r="D436" s="213">
        <v>7.2</v>
      </c>
      <c r="E436" s="38">
        <v>1</v>
      </c>
      <c r="F436" s="39" t="s">
        <v>0</v>
      </c>
      <c r="G436" s="48" t="s">
        <v>1913</v>
      </c>
      <c r="H436" s="4"/>
    </row>
    <row r="437" spans="1:8" ht="19" thickTop="1" thickBot="1" x14ac:dyDescent="0.25">
      <c r="A437" s="41">
        <v>40098</v>
      </c>
      <c r="B437" s="212" t="s">
        <v>550</v>
      </c>
      <c r="C437" s="171"/>
      <c r="D437" s="213">
        <v>7</v>
      </c>
      <c r="E437" s="38">
        <v>1</v>
      </c>
      <c r="F437" s="39" t="s">
        <v>0</v>
      </c>
      <c r="G437" s="48" t="s">
        <v>1914</v>
      </c>
      <c r="H437" s="4"/>
    </row>
    <row r="438" spans="1:8" ht="19" thickTop="1" thickBot="1" x14ac:dyDescent="0.25">
      <c r="A438" s="41">
        <v>40100</v>
      </c>
      <c r="B438" s="212" t="s">
        <v>551</v>
      </c>
      <c r="C438" s="171"/>
      <c r="D438" s="213">
        <v>8.4</v>
      </c>
      <c r="E438" s="38">
        <v>1</v>
      </c>
      <c r="F438" s="39" t="s">
        <v>0</v>
      </c>
      <c r="G438" s="48" t="s">
        <v>1915</v>
      </c>
      <c r="H438" s="4"/>
    </row>
    <row r="439" spans="1:8" ht="19" thickTop="1" thickBot="1" x14ac:dyDescent="0.25">
      <c r="A439" s="41">
        <v>40104</v>
      </c>
      <c r="B439" s="212" t="s">
        <v>552</v>
      </c>
      <c r="C439" s="171"/>
      <c r="D439" s="213">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3187</v>
      </c>
      <c r="C585" s="36">
        <v>0.4143</v>
      </c>
      <c r="D585" s="37">
        <v>8.4</v>
      </c>
      <c r="E585" s="38">
        <v>1</v>
      </c>
      <c r="F585" s="39" t="s">
        <v>0</v>
      </c>
      <c r="G585" s="84" t="s">
        <v>3185</v>
      </c>
      <c r="H585" s="4"/>
    </row>
    <row r="586" spans="1:8" ht="19" thickTop="1" thickBot="1" x14ac:dyDescent="0.25">
      <c r="A586" s="41">
        <v>51032</v>
      </c>
      <c r="B586" s="50" t="s">
        <v>3188</v>
      </c>
      <c r="C586" s="36">
        <v>0.34260000000000002</v>
      </c>
      <c r="D586" s="37">
        <v>8.4</v>
      </c>
      <c r="E586" s="38">
        <v>1</v>
      </c>
      <c r="F586" s="39" t="s">
        <v>0</v>
      </c>
      <c r="G586" s="84" t="s">
        <v>3186</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v>0.36149999999999999</v>
      </c>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4" t="s">
        <v>3162</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3020</v>
      </c>
      <c r="C849" s="36"/>
      <c r="D849" s="37"/>
      <c r="E849" s="38"/>
      <c r="F849" s="39"/>
      <c r="G849" s="84" t="s">
        <v>3019</v>
      </c>
      <c r="H849" s="4"/>
    </row>
    <row r="850" spans="1:8" ht="18" thickTop="1" thickBot="1" x14ac:dyDescent="0.25">
      <c r="A850" s="41">
        <v>64100</v>
      </c>
      <c r="B850" s="50" t="s">
        <v>3043</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2023-02-09T08:55:25Z</dcterms:modified>
</cp:coreProperties>
</file>